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posta" sheetId="1" state="visible" r:id="rId1"/>
    <sheet xmlns:r="http://schemas.openxmlformats.org/officeDocument/2006/relationships" name="Base de Dados" sheetId="2" state="visible" r:id="rId2"/>
    <sheet xmlns:r="http://schemas.openxmlformats.org/officeDocument/2006/relationships" name="Resumo" sheetId="3" state="visible" r:id="rId3"/>
    <sheet xmlns:r="http://schemas.openxmlformats.org/officeDocument/2006/relationships" name="Instruçõ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&quot;R$&quot; #.##0,00"/>
    <numFmt numFmtId="166" formatCode="0.0%"/>
  </numFmts>
  <fonts count="5">
    <font>
      <name val="Calibri"/>
      <family val="2"/>
      <color theme="1"/>
      <sz val="11"/>
      <scheme val="minor"/>
    </font>
    <font>
      <name val="Calibri"/>
      <b val="1"/>
      <color rgb="001E293B"/>
      <sz val="16"/>
    </font>
    <font>
      <name val="Calibri"/>
      <b val="1"/>
      <color rgb="00FFFFFF"/>
      <sz val="11"/>
    </font>
    <font>
      <name val="Calibri"/>
      <sz val="11"/>
    </font>
    <font>
      <name val="Calibri"/>
      <b val="1"/>
      <sz val="11"/>
    </font>
  </fonts>
  <fills count="6">
    <fill>
      <patternFill/>
    </fill>
    <fill>
      <patternFill patternType="gray125"/>
    </fill>
    <fill>
      <patternFill patternType="solid">
        <fgColor rgb="00C8102E"/>
      </patternFill>
    </fill>
    <fill>
      <patternFill patternType="solid">
        <fgColor rgb="00FFFBEB"/>
      </patternFill>
    </fill>
    <fill>
      <patternFill patternType="solid">
        <fgColor rgb="001E293B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7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left" vertical="center" wrapText="1"/>
    </xf>
    <xf numFmtId="164" fontId="3" fillId="3" borderId="1" applyAlignment="1" pivotButton="0" quotePrefix="0" xfId="0">
      <alignment horizontal="left" vertical="center" wrapText="1"/>
    </xf>
    <xf numFmtId="0" fontId="2" fillId="2" borderId="0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165" fontId="3" fillId="5" borderId="1" applyAlignment="1" pivotButton="0" quotePrefix="0" xfId="0">
      <alignment horizontal="right" vertical="center"/>
    </xf>
    <xf numFmtId="166" fontId="3" fillId="3" borderId="1" applyAlignment="1" pivotButton="0" quotePrefix="0" xfId="0">
      <alignment horizontal="center" vertical="center" wrapText="1"/>
    </xf>
    <xf numFmtId="166" fontId="3" fillId="5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165" fontId="3" fillId="0" borderId="1" applyAlignment="1" pivotButton="0" quotePrefix="0" xfId="0">
      <alignment horizontal="right" vertical="center"/>
    </xf>
    <xf numFmtId="166" fontId="3" fillId="0" borderId="1" applyAlignment="1" pivotButton="0" quotePrefix="0" xfId="0">
      <alignment horizontal="center" vertical="center" wrapText="1"/>
    </xf>
    <xf numFmtId="0" fontId="4" fillId="0" borderId="0" pivotButton="0" quotePrefix="0" xfId="0"/>
    <xf numFmtId="0" fontId="3" fillId="0" borderId="1" pivotButton="0" quotePrefix="0" xfId="0"/>
    <xf numFmtId="0" fontId="4" fillId="0" borderId="0" applyAlignment="1" pivotButton="0" quotePrefix="0" xfId="0">
      <alignment horizontal="right" vertical="center"/>
    </xf>
    <xf numFmtId="165" fontId="4" fillId="5" borderId="1" applyAlignment="1" pivotButton="0" quotePrefix="0" xfId="0">
      <alignment horizontal="right" vertical="center"/>
    </xf>
    <xf numFmtId="166" fontId="4" fillId="5" borderId="1" applyAlignment="1" pivotButton="0" quotePrefix="0" xfId="0">
      <alignment horizontal="right" vertical="center"/>
    </xf>
    <xf numFmtId="0" fontId="3" fillId="3" borderId="1" pivotButton="0" quotePrefix="0" xfId="0"/>
    <xf numFmtId="1" fontId="4" fillId="5" borderId="1" applyAlignment="1" pivotButton="0" quotePrefix="0" xfId="0">
      <alignment horizontal="center" vertical="center" wrapText="1"/>
    </xf>
    <xf numFmtId="166" fontId="4" fillId="5" borderId="1" applyAlignment="1" pivotButton="0" quotePrefix="0" xfId="0">
      <alignment horizontal="center" vertical="center" wrapText="1"/>
    </xf>
    <xf numFmtId="165" fontId="4" fillId="5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165" fontId="3" fillId="0" borderId="1" pivotButton="0" quotePrefix="0" xfId="0"/>
    <xf numFmtId="164" fontId="3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165" fontId="0" fillId="0" borderId="1" pivotButton="0" quotePrefix="0" xfId="0"/>
    <xf numFmtId="0" fontId="4" fillId="5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164" fontId="3" fillId="3" borderId="1" applyAlignment="1" pivotButton="0" quotePrefix="0" xfId="0">
      <alignment horizontal="left" vertical="center" wrapText="1"/>
    </xf>
    <xf numFmtId="165" fontId="3" fillId="5" borderId="1" applyAlignment="1" pivotButton="0" quotePrefix="0" xfId="0">
      <alignment horizontal="right" vertical="center"/>
    </xf>
    <xf numFmtId="166" fontId="3" fillId="3" borderId="1" applyAlignment="1" pivotButton="0" quotePrefix="0" xfId="0">
      <alignment horizontal="center" vertical="center" wrapText="1"/>
    </xf>
    <xf numFmtId="166" fontId="3" fillId="5" borderId="1" applyAlignment="1" pivotButton="0" quotePrefix="0" xfId="0">
      <alignment horizontal="center" vertical="center" wrapText="1"/>
    </xf>
    <xf numFmtId="165" fontId="3" fillId="0" borderId="1" applyAlignment="1" pivotButton="0" quotePrefix="0" xfId="0">
      <alignment horizontal="right" vertical="center"/>
    </xf>
    <xf numFmtId="166" fontId="3" fillId="0" borderId="1" applyAlignment="1" pivotButton="0" quotePrefix="0" xfId="0">
      <alignment horizontal="center" vertical="center" wrapText="1"/>
    </xf>
    <xf numFmtId="165" fontId="4" fillId="5" borderId="1" applyAlignment="1" pivotButton="0" quotePrefix="0" xfId="0">
      <alignment horizontal="right" vertical="center"/>
    </xf>
    <xf numFmtId="166" fontId="4" fillId="5" borderId="1" applyAlignment="1" pivotButton="0" quotePrefix="0" xfId="0">
      <alignment horizontal="right" vertical="center"/>
    </xf>
    <xf numFmtId="166" fontId="4" fillId="5" borderId="1" applyAlignment="1" pivotButton="0" quotePrefix="0" xfId="0">
      <alignment horizontal="center" vertical="center" wrapText="1"/>
    </xf>
    <xf numFmtId="165" fontId="4" fillId="5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165" fontId="3" fillId="0" borderId="1" pivotButton="0" quotePrefix="0" xfId="0"/>
    <xf numFmtId="164" fontId="3" fillId="0" borderId="1" applyAlignment="1" pivotButton="0" quotePrefix="0" xfId="0">
      <alignment horizontal="center" vertical="center" wrapText="1"/>
    </xf>
    <xf numFmtId="165" fontId="0" fillId="0" borderId="1" pivotButton="0" quotePrefix="0" xfId="0"/>
  </cellXfs>
  <cellStyles count="1">
    <cellStyle name="Normal" xfId="0" builtinId="0" hidden="0"/>
  </cellStyles>
  <dxfs count="3">
    <dxf>
      <font>
        <b val="1"/>
        <color rgb="00FFFFFF"/>
      </font>
      <fill>
        <patternFill patternType="solid">
          <fgColor rgb="0016A34A"/>
        </patternFill>
      </fill>
    </dxf>
    <dxf>
      <font>
        <b val="1"/>
        <color rgb="00FFFFFF"/>
      </font>
      <fill>
        <patternFill patternType="solid">
          <fgColor rgb="00DC2626"/>
        </patternFill>
      </fill>
    </dxf>
    <dxf>
      <fill>
        <patternFill patternType="solid">
          <fgColor rgb="00FDE04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Propostas por status</a:t>
            </a:r>
          </a:p>
        </rich>
      </tx>
    </title>
    <plotArea>
      <doughnutChart>
        <varyColors val="1"/>
        <ser>
          <idx val="0"/>
          <order val="0"/>
          <tx>
            <strRef>
              <f>'Resumo'!M9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'Resumo'!$L$10:$L$13</f>
            </numRef>
          </cat>
          <val>
            <numRef>
              <f>'Resumo'!$M$10:$M$13</f>
            </numRef>
          </val>
        </ser>
        <firstSliceAng val="0"/>
        <holeSize val="10"/>
      </doughnut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Valor total por vendedor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'Resumo'!M16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'Resumo'!$L$17:$L$20</f>
            </numRef>
          </cat>
          <val>
            <numRef>
              <f>'Resumo'!$M$17:$M$20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Valor das propostas por cliente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'Resumo'!F9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'Resumo'!$C$10:$C$19</f>
            </numRef>
          </cat>
          <val>
            <numRef>
              <f>'Resumo'!$F$10:$F$19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21</row>
      <rowOff>0</rowOff>
    </from>
    <ext cx="3600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21</row>
      <rowOff>0</rowOff>
    </from>
    <ext cx="4320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37</row>
      <rowOff>0</rowOff>
    </from>
    <ext cx="576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7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12" customWidth="1" min="2" max="2"/>
    <col width="32" customWidth="1" min="3" max="3"/>
    <col width="18" customWidth="1" min="4" max="4"/>
    <col width="10" customWidth="1" min="5" max="5"/>
    <col width="11" customWidth="1" min="6" max="6"/>
    <col width="15" customWidth="1" min="7" max="7"/>
    <col width="12" customWidth="1" min="8" max="8"/>
    <col width="14" customWidth="1" min="9" max="9"/>
    <col width="16" customWidth="1" min="10" max="10"/>
    <col width="14" customWidth="1" min="11" max="11"/>
    <col width="16" customWidth="1" min="12" max="12"/>
    <col width="15" customWidth="1" min="13" max="13"/>
    <col width="15" customWidth="1" min="14" max="14"/>
  </cols>
  <sheetData>
    <row r="1" ht="28" customHeight="1">
      <c r="A1" s="1" t="inlineStr">
        <is>
          <t>PROPOSTA COMERCIAL</t>
        </is>
      </c>
    </row>
    <row r="2"/>
    <row r="3">
      <c r="A3" s="2" t="inlineStr">
        <is>
          <t>Número da proposta</t>
        </is>
      </c>
      <c r="B3" s="3" t="inlineStr">
        <is>
          <t>PROP-2026-014</t>
        </is>
      </c>
      <c r="C3" s="2" t="inlineStr">
        <is>
          <t>Data da proposta</t>
        </is>
      </c>
      <c r="D3" s="33" t="n">
        <v>46218</v>
      </c>
      <c r="E3" s="2" t="inlineStr">
        <is>
          <t>Validade até</t>
        </is>
      </c>
      <c r="F3" s="33" t="n">
        <v>46248</v>
      </c>
      <c r="G3" s="2" t="inlineStr">
        <is>
          <t>Status</t>
        </is>
      </c>
      <c r="H3" s="3" t="inlineStr">
        <is>
          <t>Enviada</t>
        </is>
      </c>
      <c r="I3" s="2" t="inlineStr">
        <is>
          <t>Vendedor responsável</t>
        </is>
      </c>
      <c r="J3" s="3" t="inlineStr">
        <is>
          <t>Rafael Almeida</t>
        </is>
      </c>
    </row>
    <row r="4"/>
    <row r="5">
      <c r="A5" s="2" t="inlineStr">
        <is>
          <t>Cliente</t>
        </is>
      </c>
      <c r="B5" s="3" t="inlineStr">
        <is>
          <t>Maria Oliveira</t>
        </is>
      </c>
      <c r="C5" s="2" t="inlineStr">
        <is>
          <t>CPF/CNPJ</t>
        </is>
      </c>
      <c r="D5" s="3" t="inlineStr">
        <is>
          <t>12.345.678/0001-90</t>
        </is>
      </c>
      <c r="E5" s="2" t="inlineStr">
        <is>
          <t>Cidade/UF</t>
        </is>
      </c>
      <c r="F5" s="3" t="inlineStr">
        <is>
          <t>Rio de Janeiro/RJ</t>
        </is>
      </c>
      <c r="G5" s="2" t="inlineStr">
        <is>
          <t>E-mail</t>
        </is>
      </c>
      <c r="H5" s="3" t="inlineStr">
        <is>
          <t>maria.oliveira@empresa.com.br</t>
        </is>
      </c>
      <c r="I5" s="2" t="inlineStr">
        <is>
          <t>Telefone</t>
        </is>
      </c>
      <c r="J5" s="3" t="inlineStr">
        <is>
          <t>(21) 99876-5432</t>
        </is>
      </c>
    </row>
    <row r="6"/>
    <row r="7">
      <c r="A7" s="2" t="inlineStr">
        <is>
          <t>Condição de pagamento</t>
        </is>
      </c>
      <c r="B7" s="3" t="inlineStr">
        <is>
          <t>30/60/90 dias</t>
        </is>
      </c>
      <c r="C7" s="2" t="inlineStr">
        <is>
          <t>Prazo de entrega</t>
        </is>
      </c>
      <c r="D7" s="3" t="inlineStr">
        <is>
          <t>15 dias úteis</t>
        </is>
      </c>
      <c r="E7" s="2" t="inlineStr">
        <is>
          <t>Observações comerciais</t>
        </is>
      </c>
      <c r="F7" s="3" t="inlineStr">
        <is>
          <t>Valores sujeitos a reajuste após a validade.</t>
        </is>
      </c>
    </row>
    <row r="8"/>
    <row r="9" ht="20" customHeight="1">
      <c r="A9" s="5" t="inlineStr">
        <is>
          <t>ITENS DA PROPOSTA</t>
        </is>
      </c>
    </row>
    <row r="10"/>
    <row r="11"/>
    <row r="12"/>
    <row r="13"/>
    <row r="14"/>
    <row r="15"/>
    <row r="16"/>
    <row r="17" ht="30" customHeight="1">
      <c r="A17" s="6" t="inlineStr">
        <is>
          <t>Item</t>
        </is>
      </c>
      <c r="B17" s="6" t="inlineStr">
        <is>
          <t>Código</t>
        </is>
      </c>
      <c r="C17" s="6" t="inlineStr">
        <is>
          <t>Descrição</t>
        </is>
      </c>
      <c r="D17" s="6" t="inlineStr">
        <is>
          <t>Categoria</t>
        </is>
      </c>
      <c r="E17" s="6" t="inlineStr">
        <is>
          <t>Unidade</t>
        </is>
      </c>
      <c r="F17" s="6" t="inlineStr">
        <is>
          <t>Quantidade</t>
        </is>
      </c>
      <c r="G17" s="6" t="inlineStr">
        <is>
          <t>Preço unitário</t>
        </is>
      </c>
      <c r="H17" s="6" t="inlineStr">
        <is>
          <t>Desconto (%)</t>
        </is>
      </c>
      <c r="I17" s="6" t="inlineStr">
        <is>
          <t>Valor bruto</t>
        </is>
      </c>
      <c r="J17" s="6" t="inlineStr">
        <is>
          <t>Valor do desconto</t>
        </is>
      </c>
      <c r="K17" s="6" t="inlineStr">
        <is>
          <t>Subtotal</t>
        </is>
      </c>
      <c r="L17" s="6" t="inlineStr">
        <is>
          <t>Alíquota de imposto (%)</t>
        </is>
      </c>
      <c r="M17" s="6" t="inlineStr">
        <is>
          <t>Valor do imposto</t>
        </is>
      </c>
      <c r="N17" s="6" t="inlineStr">
        <is>
          <t>Total do item</t>
        </is>
      </c>
    </row>
    <row r="18">
      <c r="A18" s="7" t="n">
        <v>1</v>
      </c>
      <c r="B18" s="8" t="inlineStr">
        <is>
          <t>SVC-001</t>
        </is>
      </c>
      <c r="C18" s="9">
        <f>IFERROR(VLOOKUP(B18,'Base de Dados'!$K$2:$R$20,2,FALSE),"")</f>
        <v/>
      </c>
      <c r="D18" s="9">
        <f>IFERROR(VLOOKUP(B18,'Base de Dados'!$K$2:$R$20,3,FALSE),"")</f>
        <v/>
      </c>
      <c r="E18" s="7">
        <f>IFERROR(VLOOKUP(B18,'Base de Dados'!$K$2:$R$20,4,FALSE),"")</f>
        <v/>
      </c>
      <c r="F18" s="3" t="n">
        <v>10</v>
      </c>
      <c r="G18" s="34">
        <f>IFERROR(VLOOKUP(B18,'Base de Dados'!$K$2:$R$20,5,FALSE),0)</f>
        <v/>
      </c>
      <c r="H18" s="35" t="n">
        <v>0.05</v>
      </c>
      <c r="I18" s="34">
        <f>F18*G18</f>
        <v/>
      </c>
      <c r="J18" s="34">
        <f>I18*H18</f>
        <v/>
      </c>
      <c r="K18" s="34">
        <f>I18-J18</f>
        <v/>
      </c>
      <c r="L18" s="36">
        <f>IFERROR(VLOOKUP(B18,'Base de Dados'!$K$2:$R$20,7,FALSE),0)</f>
        <v/>
      </c>
      <c r="M18" s="34">
        <f>K18*L18</f>
        <v/>
      </c>
      <c r="N18" s="34">
        <f>K18+M18</f>
        <v/>
      </c>
    </row>
    <row r="19">
      <c r="A19" s="13" t="n">
        <v>2</v>
      </c>
      <c r="B19" s="8" t="inlineStr">
        <is>
          <t>SVC-002</t>
        </is>
      </c>
      <c r="C19" s="14">
        <f>IFERROR(VLOOKUP(B19,'Base de Dados'!$K$2:$R$20,2,FALSE),"")</f>
        <v/>
      </c>
      <c r="D19" s="14">
        <f>IFERROR(VLOOKUP(B19,'Base de Dados'!$K$2:$R$20,3,FALSE),"")</f>
        <v/>
      </c>
      <c r="E19" s="13">
        <f>IFERROR(VLOOKUP(B19,'Base de Dados'!$K$2:$R$20,4,FALSE),"")</f>
        <v/>
      </c>
      <c r="F19" s="3" t="n">
        <v>1</v>
      </c>
      <c r="G19" s="37">
        <f>IFERROR(VLOOKUP(B19,'Base de Dados'!$K$2:$R$20,5,FALSE),0)</f>
        <v/>
      </c>
      <c r="H19" s="35" t="n">
        <v>0</v>
      </c>
      <c r="I19" s="37">
        <f>F19*G19</f>
        <v/>
      </c>
      <c r="J19" s="37">
        <f>I19*H19</f>
        <v/>
      </c>
      <c r="K19" s="37">
        <f>I19-J19</f>
        <v/>
      </c>
      <c r="L19" s="38">
        <f>IFERROR(VLOOKUP(B19,'Base de Dados'!$K$2:$R$20,7,FALSE),0)</f>
        <v/>
      </c>
      <c r="M19" s="37">
        <f>K19*L19</f>
        <v/>
      </c>
      <c r="N19" s="37">
        <f>K19+M19</f>
        <v/>
      </c>
    </row>
    <row r="20">
      <c r="A20" s="7" t="n">
        <v>3</v>
      </c>
      <c r="B20" s="8" t="inlineStr">
        <is>
          <t>SVC-003</t>
        </is>
      </c>
      <c r="C20" s="9">
        <f>IFERROR(VLOOKUP(B20,'Base de Dados'!$K$2:$R$20,2,FALSE),"")</f>
        <v/>
      </c>
      <c r="D20" s="9">
        <f>IFERROR(VLOOKUP(B20,'Base de Dados'!$K$2:$R$20,3,FALSE),"")</f>
        <v/>
      </c>
      <c r="E20" s="7">
        <f>IFERROR(VLOOKUP(B20,'Base de Dados'!$K$2:$R$20,4,FALSE),"")</f>
        <v/>
      </c>
      <c r="F20" s="3" t="n">
        <v>12</v>
      </c>
      <c r="G20" s="34">
        <f>IFERROR(VLOOKUP(B20,'Base de Dados'!$K$2:$R$20,5,FALSE),0)</f>
        <v/>
      </c>
      <c r="H20" s="35" t="n">
        <v>0.1</v>
      </c>
      <c r="I20" s="34">
        <f>F20*G20</f>
        <v/>
      </c>
      <c r="J20" s="34">
        <f>I20*H20</f>
        <v/>
      </c>
      <c r="K20" s="34">
        <f>I20-J20</f>
        <v/>
      </c>
      <c r="L20" s="36">
        <f>IFERROR(VLOOKUP(B20,'Base de Dados'!$K$2:$R$20,7,FALSE),0)</f>
        <v/>
      </c>
      <c r="M20" s="34">
        <f>K20*L20</f>
        <v/>
      </c>
      <c r="N20" s="34">
        <f>K20+M20</f>
        <v/>
      </c>
    </row>
    <row r="21">
      <c r="A21" s="13" t="n">
        <v>4</v>
      </c>
      <c r="B21" s="8" t="inlineStr">
        <is>
          <t>LIC-004</t>
        </is>
      </c>
      <c r="C21" s="14">
        <f>IFERROR(VLOOKUP(B21,'Base de Dados'!$K$2:$R$20,2,FALSE),"")</f>
        <v/>
      </c>
      <c r="D21" s="14">
        <f>IFERROR(VLOOKUP(B21,'Base de Dados'!$K$2:$R$20,3,FALSE),"")</f>
        <v/>
      </c>
      <c r="E21" s="13">
        <f>IFERROR(VLOOKUP(B21,'Base de Dados'!$K$2:$R$20,4,FALSE),"")</f>
        <v/>
      </c>
      <c r="F21" s="3" t="n">
        <v>5</v>
      </c>
      <c r="G21" s="37">
        <f>IFERROR(VLOOKUP(B21,'Base de Dados'!$K$2:$R$20,5,FALSE),0)</f>
        <v/>
      </c>
      <c r="H21" s="35" t="n">
        <v>0</v>
      </c>
      <c r="I21" s="37">
        <f>F21*G21</f>
        <v/>
      </c>
      <c r="J21" s="37">
        <f>I21*H21</f>
        <v/>
      </c>
      <c r="K21" s="37">
        <f>I21-J21</f>
        <v/>
      </c>
      <c r="L21" s="38">
        <f>IFERROR(VLOOKUP(B21,'Base de Dados'!$K$2:$R$20,7,FALSE),0)</f>
        <v/>
      </c>
      <c r="M21" s="37">
        <f>K21*L21</f>
        <v/>
      </c>
      <c r="N21" s="37">
        <f>K21+M21</f>
        <v/>
      </c>
    </row>
    <row r="22">
      <c r="A22" s="7" t="n">
        <v>5</v>
      </c>
      <c r="B22" s="8" t="inlineStr">
        <is>
          <t>SVC-005</t>
        </is>
      </c>
      <c r="C22" s="9">
        <f>IFERROR(VLOOKUP(B22,'Base de Dados'!$K$2:$R$20,2,FALSE),"")</f>
        <v/>
      </c>
      <c r="D22" s="9">
        <f>IFERROR(VLOOKUP(B22,'Base de Dados'!$K$2:$R$20,3,FALSE),"")</f>
        <v/>
      </c>
      <c r="E22" s="7">
        <f>IFERROR(VLOOKUP(B22,'Base de Dados'!$K$2:$R$20,4,FALSE),"")</f>
        <v/>
      </c>
      <c r="F22" s="3" t="n">
        <v>2</v>
      </c>
      <c r="G22" s="34">
        <f>IFERROR(VLOOKUP(B22,'Base de Dados'!$K$2:$R$20,5,FALSE),0)</f>
        <v/>
      </c>
      <c r="H22" s="35" t="n">
        <v>0.05</v>
      </c>
      <c r="I22" s="34">
        <f>F22*G22</f>
        <v/>
      </c>
      <c r="J22" s="34">
        <f>I22*H22</f>
        <v/>
      </c>
      <c r="K22" s="34">
        <f>I22-J22</f>
        <v/>
      </c>
      <c r="L22" s="36">
        <f>IFERROR(VLOOKUP(B22,'Base de Dados'!$K$2:$R$20,7,FALSE),0)</f>
        <v/>
      </c>
      <c r="M22" s="34">
        <f>K22*L22</f>
        <v/>
      </c>
      <c r="N22" s="34">
        <f>K22+M22</f>
        <v/>
      </c>
    </row>
    <row r="23">
      <c r="A23" s="13" t="n">
        <v>6</v>
      </c>
      <c r="B23" s="8" t="inlineStr">
        <is>
          <t>SVC-006</t>
        </is>
      </c>
      <c r="C23" s="14">
        <f>IFERROR(VLOOKUP(B23,'Base de Dados'!$K$2:$R$20,2,FALSE),"")</f>
        <v/>
      </c>
      <c r="D23" s="14">
        <f>IFERROR(VLOOKUP(B23,'Base de Dados'!$K$2:$R$20,3,FALSE),"")</f>
        <v/>
      </c>
      <c r="E23" s="13">
        <f>IFERROR(VLOOKUP(B23,'Base de Dados'!$K$2:$R$20,4,FALSE),"")</f>
        <v/>
      </c>
      <c r="F23" s="3" t="n">
        <v>12</v>
      </c>
      <c r="G23" s="37">
        <f>IFERROR(VLOOKUP(B23,'Base de Dados'!$K$2:$R$20,5,FALSE),0)</f>
        <v/>
      </c>
      <c r="H23" s="35" t="n">
        <v>0.1</v>
      </c>
      <c r="I23" s="37">
        <f>F23*G23</f>
        <v/>
      </c>
      <c r="J23" s="37">
        <f>I23*H23</f>
        <v/>
      </c>
      <c r="K23" s="37">
        <f>I23-J23</f>
        <v/>
      </c>
      <c r="L23" s="38">
        <f>IFERROR(VLOOKUP(B23,'Base de Dados'!$K$2:$R$20,7,FALSE),0)</f>
        <v/>
      </c>
      <c r="M23" s="37">
        <f>K23*L23</f>
        <v/>
      </c>
      <c r="N23" s="37">
        <f>K23+M23</f>
        <v/>
      </c>
    </row>
    <row r="24">
      <c r="A24" s="7" t="n">
        <v>7</v>
      </c>
      <c r="B24" s="8" t="inlineStr">
        <is>
          <t>EQP-007</t>
        </is>
      </c>
      <c r="C24" s="9">
        <f>IFERROR(VLOOKUP(B24,'Base de Dados'!$K$2:$R$20,2,FALSE),"")</f>
        <v/>
      </c>
      <c r="D24" s="9">
        <f>IFERROR(VLOOKUP(B24,'Base de Dados'!$K$2:$R$20,3,FALSE),"")</f>
        <v/>
      </c>
      <c r="E24" s="7">
        <f>IFERROR(VLOOKUP(B24,'Base de Dados'!$K$2:$R$20,4,FALSE),"")</f>
        <v/>
      </c>
      <c r="F24" s="3" t="n">
        <v>2</v>
      </c>
      <c r="G24" s="34">
        <f>IFERROR(VLOOKUP(B24,'Base de Dados'!$K$2:$R$20,5,FALSE),0)</f>
        <v/>
      </c>
      <c r="H24" s="35" t="n">
        <v>0.05</v>
      </c>
      <c r="I24" s="34">
        <f>F24*G24</f>
        <v/>
      </c>
      <c r="J24" s="34">
        <f>I24*H24</f>
        <v/>
      </c>
      <c r="K24" s="34">
        <f>I24-J24</f>
        <v/>
      </c>
      <c r="L24" s="36">
        <f>IFERROR(VLOOKUP(B24,'Base de Dados'!$K$2:$R$20,7,FALSE),0)</f>
        <v/>
      </c>
      <c r="M24" s="34">
        <f>K24*L24</f>
        <v/>
      </c>
      <c r="N24" s="34">
        <f>K24+M24</f>
        <v/>
      </c>
    </row>
    <row r="25">
      <c r="A25" s="13" t="n">
        <v>8</v>
      </c>
      <c r="B25" s="8" t="inlineStr">
        <is>
          <t>SVC-008</t>
        </is>
      </c>
      <c r="C25" s="14">
        <f>IFERROR(VLOOKUP(B25,'Base de Dados'!$K$2:$R$20,2,FALSE),"")</f>
        <v/>
      </c>
      <c r="D25" s="14">
        <f>IFERROR(VLOOKUP(B25,'Base de Dados'!$K$2:$R$20,3,FALSE),"")</f>
        <v/>
      </c>
      <c r="E25" s="13">
        <f>IFERROR(VLOOKUP(B25,'Base de Dados'!$K$2:$R$20,4,FALSE),"")</f>
        <v/>
      </c>
      <c r="F25" s="3" t="n">
        <v>1</v>
      </c>
      <c r="G25" s="37">
        <f>IFERROR(VLOOKUP(B25,'Base de Dados'!$K$2:$R$20,5,FALSE),0)</f>
        <v/>
      </c>
      <c r="H25" s="35" t="n">
        <v>0</v>
      </c>
      <c r="I25" s="37">
        <f>F25*G25</f>
        <v/>
      </c>
      <c r="J25" s="37">
        <f>I25*H25</f>
        <v/>
      </c>
      <c r="K25" s="37">
        <f>I25-J25</f>
        <v/>
      </c>
      <c r="L25" s="38">
        <f>IFERROR(VLOOKUP(B25,'Base de Dados'!$K$2:$R$20,7,FALSE),0)</f>
        <v/>
      </c>
      <c r="M25" s="37">
        <f>K25*L25</f>
        <v/>
      </c>
      <c r="N25" s="37">
        <f>K25+M25</f>
        <v/>
      </c>
    </row>
    <row r="26">
      <c r="A26" s="7" t="n">
        <v>9</v>
      </c>
      <c r="B26" s="8" t="inlineStr">
        <is>
          <t>SVC-009</t>
        </is>
      </c>
      <c r="C26" s="9">
        <f>IFERROR(VLOOKUP(B26,'Base de Dados'!$K$2:$R$20,2,FALSE),"")</f>
        <v/>
      </c>
      <c r="D26" s="9">
        <f>IFERROR(VLOOKUP(B26,'Base de Dados'!$K$2:$R$20,3,FALSE),"")</f>
        <v/>
      </c>
      <c r="E26" s="7">
        <f>IFERROR(VLOOKUP(B26,'Base de Dados'!$K$2:$R$20,4,FALSE),"")</f>
        <v/>
      </c>
      <c r="F26" s="3" t="n">
        <v>3</v>
      </c>
      <c r="G26" s="34">
        <f>IFERROR(VLOOKUP(B26,'Base de Dados'!$K$2:$R$20,5,FALSE),0)</f>
        <v/>
      </c>
      <c r="H26" s="35" t="n">
        <v>0</v>
      </c>
      <c r="I26" s="34">
        <f>F26*G26</f>
        <v/>
      </c>
      <c r="J26" s="34">
        <f>I26*H26</f>
        <v/>
      </c>
      <c r="K26" s="34">
        <f>I26-J26</f>
        <v/>
      </c>
      <c r="L26" s="36">
        <f>IFERROR(VLOOKUP(B26,'Base de Dados'!$K$2:$R$20,7,FALSE),0)</f>
        <v/>
      </c>
      <c r="M26" s="34">
        <f>K26*L26</f>
        <v/>
      </c>
      <c r="N26" s="34">
        <f>K26+M26</f>
        <v/>
      </c>
    </row>
    <row r="27"/>
    <row r="28">
      <c r="B28" s="17" t="inlineStr">
        <is>
          <t>Conferência de códigos:</t>
        </is>
      </c>
      <c r="C28" s="18">
        <f>IF(COUNTIF($B$18:$B$27,B18)&gt;1,"Código repetido","OK")</f>
        <v/>
      </c>
    </row>
    <row r="29"/>
    <row r="30">
      <c r="L30" s="19" t="inlineStr">
        <is>
          <t>Subtotal da proposta</t>
        </is>
      </c>
      <c r="N30" s="39">
        <f>SUM(K18:K27)</f>
        <v/>
      </c>
    </row>
    <row r="31">
      <c r="L31" s="19" t="inlineStr">
        <is>
          <t>Total de descontos</t>
        </is>
      </c>
      <c r="N31" s="39">
        <f>SUM(J18:J27)</f>
        <v/>
      </c>
    </row>
    <row r="32">
      <c r="L32" s="19" t="inlineStr">
        <is>
          <t>Total de impostos</t>
        </is>
      </c>
      <c r="N32" s="39">
        <f>SUM(M18:M27)</f>
        <v/>
      </c>
    </row>
    <row r="33">
      <c r="L33" s="19" t="inlineStr">
        <is>
          <t>TOTAL GERAL DA PROPOSTA</t>
        </is>
      </c>
      <c r="N33" s="39">
        <f>SUM(N18:N27)</f>
        <v/>
      </c>
    </row>
    <row r="34">
      <c r="L34" s="19" t="inlineStr">
        <is>
          <t>Percentual médio de desconto</t>
        </is>
      </c>
      <c r="N34" s="40">
        <f>AVERAGE(H18:H27)</f>
        <v/>
      </c>
    </row>
    <row r="35"/>
    <row r="36">
      <c r="B36" s="17" t="inlineStr">
        <is>
          <t>Margem/condição comercial</t>
        </is>
      </c>
      <c r="C36" s="22" t="inlineStr">
        <is>
          <t>Margem estimada de 35%</t>
        </is>
      </c>
    </row>
    <row r="37">
      <c r="B37" s="17" t="inlineStr">
        <is>
          <t>Situação do valor</t>
        </is>
      </c>
      <c r="C37" s="18">
        <f>IF(N33&gt;0,"Proposta preenchida","Adicionar itens")</f>
        <v/>
      </c>
    </row>
  </sheetData>
  <mergeCells count="2">
    <mergeCell ref="A1:N1"/>
    <mergeCell ref="A9:N9"/>
  </mergeCells>
  <dataValidations count="3">
    <dataValidation sqref="B5" showErrorMessage="1" showInputMessage="1" allowBlank="1" type="list">
      <formula1>'Base de Dados'!$B$3:$B$11</formula1>
    </dataValidation>
    <dataValidation sqref="B18:B27" showErrorMessage="1" showInputMessage="1" allowBlank="1" type="list">
      <formula1>'Base de Dados'!$K$3:$K$11</formula1>
    </dataValidation>
    <dataValidation sqref="H3" showErrorMessage="1" showInputMessage="1" allowBlank="1" type="list">
      <formula1>"Rascunho,Enviada,Aprovada,Recusada"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S11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20" customWidth="1" min="2" max="2"/>
    <col width="20" customWidth="1" min="3" max="3"/>
    <col width="16" customWidth="1" min="4" max="4"/>
    <col width="6" customWidth="1" min="5" max="5"/>
    <col width="16" customWidth="1" min="6" max="6"/>
    <col width="32" customWidth="1" min="7" max="7"/>
    <col width="14" customWidth="1" min="8" max="8"/>
    <col width="18" customWidth="1" min="9" max="9"/>
    <col width="2" customWidth="1" min="10" max="10"/>
    <col width="10" customWidth="1" min="11" max="11"/>
    <col width="34" customWidth="1" min="12" max="12"/>
    <col width="14" customWidth="1" min="13" max="13"/>
    <col width="10" customWidth="1" min="14" max="14"/>
    <col width="14" customWidth="1" min="15" max="15"/>
    <col width="14" customWidth="1" min="16" max="16"/>
    <col width="18" customWidth="1" min="17" max="17"/>
    <col width="15" customWidth="1" min="18" max="18"/>
    <col width="15" customWidth="1" min="19" max="19"/>
  </cols>
  <sheetData>
    <row r="1">
      <c r="A1" s="1" t="inlineStr">
        <is>
          <t>BASE DE DADOS — CLIENTES</t>
        </is>
      </c>
      <c r="K1" s="1" t="inlineStr">
        <is>
          <t>PRODUTOS / SERVIÇOS</t>
        </is>
      </c>
    </row>
    <row r="2" ht="28" customHeight="1">
      <c r="A2" s="6" t="inlineStr">
        <is>
          <t>Código do cliente</t>
        </is>
      </c>
      <c r="B2" s="6" t="inlineStr">
        <is>
          <t>Cliente</t>
        </is>
      </c>
      <c r="C2" s="6" t="inlineStr">
        <is>
          <t>CPF/CNPJ</t>
        </is>
      </c>
      <c r="D2" s="6" t="inlineStr">
        <is>
          <t>Cidade</t>
        </is>
      </c>
      <c r="E2" s="6" t="inlineStr">
        <is>
          <t>UF</t>
        </is>
      </c>
      <c r="F2" s="6" t="inlineStr">
        <is>
          <t>Contato</t>
        </is>
      </c>
      <c r="G2" s="6" t="inlineStr">
        <is>
          <t>E-mail</t>
        </is>
      </c>
      <c r="H2" s="6" t="inlineStr">
        <is>
          <t>Segmento</t>
        </is>
      </c>
      <c r="I2" s="6" t="inlineStr">
        <is>
          <t>Vendedor responsável</t>
        </is>
      </c>
      <c r="K2" s="6" t="inlineStr">
        <is>
          <t>Código</t>
        </is>
      </c>
      <c r="L2" s="6" t="inlineStr">
        <is>
          <t>Descrição</t>
        </is>
      </c>
      <c r="M2" s="6" t="inlineStr">
        <is>
          <t>Categoria</t>
        </is>
      </c>
      <c r="N2" s="6" t="inlineStr">
        <is>
          <t>Unidade</t>
        </is>
      </c>
      <c r="O2" s="6" t="inlineStr">
        <is>
          <t>Preço padrão</t>
        </is>
      </c>
      <c r="P2" s="6" t="inlineStr">
        <is>
          <t>Custo estimado</t>
        </is>
      </c>
      <c r="Q2" s="6" t="inlineStr">
        <is>
          <t>Alíquota de imposto</t>
        </is>
      </c>
      <c r="R2" s="6" t="inlineStr">
        <is>
          <t>Prazo de entrega</t>
        </is>
      </c>
      <c r="S2" s="6" t="inlineStr">
        <is>
          <t>Conferência</t>
        </is>
      </c>
    </row>
    <row r="3">
      <c r="A3" s="9" t="inlineStr">
        <is>
          <t>CLI-001</t>
        </is>
      </c>
      <c r="B3" s="9" t="inlineStr">
        <is>
          <t>João Silva</t>
        </is>
      </c>
      <c r="C3" s="9" t="inlineStr">
        <is>
          <t>123.456.789-00</t>
        </is>
      </c>
      <c r="D3" s="9" t="inlineStr">
        <is>
          <t>São Paulo</t>
        </is>
      </c>
      <c r="E3" s="9" t="inlineStr">
        <is>
          <t>SP</t>
        </is>
      </c>
      <c r="F3" s="9" t="inlineStr">
        <is>
          <t>João Silva</t>
        </is>
      </c>
      <c r="G3" s="9" t="inlineStr">
        <is>
          <t>joao.silva@techcorp.com.br</t>
        </is>
      </c>
      <c r="H3" s="9" t="inlineStr">
        <is>
          <t>Tecnologia</t>
        </is>
      </c>
      <c r="I3" s="9" t="inlineStr">
        <is>
          <t>Ana Souza</t>
        </is>
      </c>
      <c r="K3" s="9" t="inlineStr">
        <is>
          <t>SVC-001</t>
        </is>
      </c>
      <c r="L3" s="9" t="inlineStr">
        <is>
          <t>Consultoria em gestão empresarial</t>
        </is>
      </c>
      <c r="M3" s="9" t="inlineStr">
        <is>
          <t>Serviços</t>
        </is>
      </c>
      <c r="N3" s="9" t="inlineStr">
        <is>
          <t>Hora</t>
        </is>
      </c>
      <c r="O3" s="34" t="n">
        <v>850</v>
      </c>
      <c r="P3" s="34" t="n">
        <v>480</v>
      </c>
      <c r="Q3" s="36" t="n">
        <v>0.14</v>
      </c>
      <c r="R3" s="9" t="inlineStr">
        <is>
          <t>5 dias úteis</t>
        </is>
      </c>
      <c r="S3" s="13">
        <f>IF(COUNTIF($K$3:$K$11,K3)&gt;1,"Código repetido","")</f>
        <v/>
      </c>
    </row>
    <row r="4">
      <c r="A4" s="14" t="inlineStr">
        <is>
          <t>CLI-002</t>
        </is>
      </c>
      <c r="B4" s="14" t="inlineStr">
        <is>
          <t>Maria Oliveira</t>
        </is>
      </c>
      <c r="C4" s="14" t="inlineStr">
        <is>
          <t>12.345.678/0001-90</t>
        </is>
      </c>
      <c r="D4" s="14" t="inlineStr">
        <is>
          <t>Rio de Janeiro</t>
        </is>
      </c>
      <c r="E4" s="14" t="inlineStr">
        <is>
          <t>RJ</t>
        </is>
      </c>
      <c r="F4" s="14" t="inlineStr">
        <is>
          <t>Maria Oliveira</t>
        </is>
      </c>
      <c r="G4" s="14" t="inlineStr">
        <is>
          <t>maria.oliveira@empresa.com.br</t>
        </is>
      </c>
      <c r="H4" s="14" t="inlineStr">
        <is>
          <t>Comércio</t>
        </is>
      </c>
      <c r="I4" s="14" t="inlineStr">
        <is>
          <t>Rafael Almeida</t>
        </is>
      </c>
      <c r="K4" s="14" t="inlineStr">
        <is>
          <t>SVC-002</t>
        </is>
      </c>
      <c r="L4" s="14" t="inlineStr">
        <is>
          <t>Instalação de sistema ERP</t>
        </is>
      </c>
      <c r="M4" s="14" t="inlineStr">
        <is>
          <t>Serviços</t>
        </is>
      </c>
      <c r="N4" s="14" t="inlineStr">
        <is>
          <t>Serviço</t>
        </is>
      </c>
      <c r="O4" s="37" t="n">
        <v>4500</v>
      </c>
      <c r="P4" s="37" t="n">
        <v>2900</v>
      </c>
      <c r="Q4" s="38" t="n">
        <v>0.14</v>
      </c>
      <c r="R4" s="14" t="inlineStr">
        <is>
          <t>10 dias úteis</t>
        </is>
      </c>
      <c r="S4" s="13">
        <f>IF(COUNTIF($K$3:$K$11,K4)&gt;1,"Código repetido","")</f>
        <v/>
      </c>
    </row>
    <row r="5">
      <c r="A5" s="9" t="inlineStr">
        <is>
          <t>CLI-003</t>
        </is>
      </c>
      <c r="B5" s="9" t="inlineStr">
        <is>
          <t>Pedro Santos</t>
        </is>
      </c>
      <c r="C5" s="9" t="inlineStr">
        <is>
          <t>234.567.890-11</t>
        </is>
      </c>
      <c r="D5" s="9" t="inlineStr">
        <is>
          <t>Belo Horizonte</t>
        </is>
      </c>
      <c r="E5" s="9" t="inlineStr">
        <is>
          <t>MG</t>
        </is>
      </c>
      <c r="F5" s="9" t="inlineStr">
        <is>
          <t>Pedro Santos</t>
        </is>
      </c>
      <c r="G5" s="9" t="inlineStr">
        <is>
          <t>pedro.santos@industria.com.br</t>
        </is>
      </c>
      <c r="H5" s="9" t="inlineStr">
        <is>
          <t>Indústria</t>
        </is>
      </c>
      <c r="I5" s="9" t="inlineStr">
        <is>
          <t>Ana Souza</t>
        </is>
      </c>
      <c r="K5" s="9" t="inlineStr">
        <is>
          <t>SVC-003</t>
        </is>
      </c>
      <c r="L5" s="9" t="inlineStr">
        <is>
          <t>Suporte técnico mensal</t>
        </is>
      </c>
      <c r="M5" s="9" t="inlineStr">
        <is>
          <t>Serviços</t>
        </is>
      </c>
      <c r="N5" s="9" t="inlineStr">
        <is>
          <t>Mês</t>
        </is>
      </c>
      <c r="O5" s="34" t="n">
        <v>650</v>
      </c>
      <c r="P5" s="34" t="n">
        <v>380</v>
      </c>
      <c r="Q5" s="36" t="n">
        <v>0.14</v>
      </c>
      <c r="R5" s="9" t="inlineStr">
        <is>
          <t>Contínuo</t>
        </is>
      </c>
      <c r="S5" s="13">
        <f>IF(COUNTIF($K$3:$K$11,K5)&gt;1,"Código repetido","")</f>
        <v/>
      </c>
    </row>
    <row r="6">
      <c r="A6" s="14" t="inlineStr">
        <is>
          <t>CLI-004</t>
        </is>
      </c>
      <c r="B6" s="14" t="inlineStr">
        <is>
          <t>Ana Souza</t>
        </is>
      </c>
      <c r="C6" s="14" t="inlineStr">
        <is>
          <t>23.456.789/0001-01</t>
        </is>
      </c>
      <c r="D6" s="14" t="inlineStr">
        <is>
          <t>Curitiba</t>
        </is>
      </c>
      <c r="E6" s="14" t="inlineStr">
        <is>
          <t>PR</t>
        </is>
      </c>
      <c r="F6" s="14" t="inlineStr">
        <is>
          <t>Ana Souza</t>
        </is>
      </c>
      <c r="G6" s="14" t="inlineStr">
        <is>
          <t>ana.souza@logistica.com.br</t>
        </is>
      </c>
      <c r="H6" s="14" t="inlineStr">
        <is>
          <t>Logística</t>
        </is>
      </c>
      <c r="I6" s="14" t="inlineStr">
        <is>
          <t>Carlos Pereira</t>
        </is>
      </c>
      <c r="K6" s="14" t="inlineStr">
        <is>
          <t>LIC-004</t>
        </is>
      </c>
      <c r="L6" s="14" t="inlineStr">
        <is>
          <t>Licença de software anual</t>
        </is>
      </c>
      <c r="M6" s="14" t="inlineStr">
        <is>
          <t>Software</t>
        </is>
      </c>
      <c r="N6" s="14" t="inlineStr">
        <is>
          <t>Licença</t>
        </is>
      </c>
      <c r="O6" s="37" t="n">
        <v>1200</v>
      </c>
      <c r="P6" s="37" t="n">
        <v>700</v>
      </c>
      <c r="Q6" s="38" t="n">
        <v>0.09</v>
      </c>
      <c r="R6" s="14" t="inlineStr">
        <is>
          <t>Imediato</t>
        </is>
      </c>
      <c r="S6" s="13">
        <f>IF(COUNTIF($K$3:$K$11,K6)&gt;1,"Código repetido","")</f>
        <v/>
      </c>
    </row>
    <row r="7">
      <c r="A7" s="9" t="inlineStr">
        <is>
          <t>CLI-005</t>
        </is>
      </c>
      <c r="B7" s="9" t="inlineStr">
        <is>
          <t>Carlos Pereira</t>
        </is>
      </c>
      <c r="C7" s="9" t="inlineStr">
        <is>
          <t>345.678.901-22</t>
        </is>
      </c>
      <c r="D7" s="9" t="inlineStr">
        <is>
          <t>Campinas</t>
        </is>
      </c>
      <c r="E7" s="9" t="inlineStr">
        <is>
          <t>SP</t>
        </is>
      </c>
      <c r="F7" s="9" t="inlineStr">
        <is>
          <t>Carlos Pereira</t>
        </is>
      </c>
      <c r="G7" s="9" t="inlineStr">
        <is>
          <t>carlos.pereira@agro.com.br</t>
        </is>
      </c>
      <c r="H7" s="9" t="inlineStr">
        <is>
          <t>Agronegócio</t>
        </is>
      </c>
      <c r="I7" s="9" t="inlineStr">
        <is>
          <t>Juliana Costa</t>
        </is>
      </c>
      <c r="K7" s="9" t="inlineStr">
        <is>
          <t>SVC-005</t>
        </is>
      </c>
      <c r="L7" s="9" t="inlineStr">
        <is>
          <t>Treinamento de equipes</t>
        </is>
      </c>
      <c r="M7" s="9" t="inlineStr">
        <is>
          <t>Serviços</t>
        </is>
      </c>
      <c r="N7" s="9" t="inlineStr">
        <is>
          <t>Turma</t>
        </is>
      </c>
      <c r="O7" s="34" t="n">
        <v>2800</v>
      </c>
      <c r="P7" s="34" t="n">
        <v>1600</v>
      </c>
      <c r="Q7" s="36" t="n">
        <v>0.14</v>
      </c>
      <c r="R7" s="9" t="inlineStr">
        <is>
          <t>7 dias úteis</t>
        </is>
      </c>
      <c r="S7" s="13">
        <f>IF(COUNTIF($K$3:$K$11,K7)&gt;1,"Código repetido","")</f>
        <v/>
      </c>
    </row>
    <row r="8">
      <c r="A8" s="14" t="inlineStr">
        <is>
          <t>CLI-006</t>
        </is>
      </c>
      <c r="B8" s="14" t="inlineStr">
        <is>
          <t>Juliana Costa</t>
        </is>
      </c>
      <c r="C8" s="14" t="inlineStr">
        <is>
          <t>34.567.890/0001-12</t>
        </is>
      </c>
      <c r="D8" s="14" t="inlineStr">
        <is>
          <t>Salvador</t>
        </is>
      </c>
      <c r="E8" s="14" t="inlineStr">
        <is>
          <t>BA</t>
        </is>
      </c>
      <c r="F8" s="14" t="inlineStr">
        <is>
          <t>Juliana Costa</t>
        </is>
      </c>
      <c r="G8" s="14" t="inlineStr">
        <is>
          <t>juliana.costa@saude.com.br</t>
        </is>
      </c>
      <c r="H8" s="14" t="inlineStr">
        <is>
          <t>Saúde</t>
        </is>
      </c>
      <c r="I8" s="14" t="inlineStr">
        <is>
          <t>Rafael Almeida</t>
        </is>
      </c>
      <c r="K8" s="14" t="inlineStr">
        <is>
          <t>SVC-006</t>
        </is>
      </c>
      <c r="L8" s="14" t="inlineStr">
        <is>
          <t>Manutenção preventiva mensal</t>
        </is>
      </c>
      <c r="M8" s="14" t="inlineStr">
        <is>
          <t>Serviços</t>
        </is>
      </c>
      <c r="N8" s="14" t="inlineStr">
        <is>
          <t>Mês</t>
        </is>
      </c>
      <c r="O8" s="37" t="n">
        <v>480</v>
      </c>
      <c r="P8" s="37" t="n">
        <v>290</v>
      </c>
      <c r="Q8" s="38" t="n">
        <v>0.14</v>
      </c>
      <c r="R8" s="14" t="inlineStr">
        <is>
          <t>Contínuo</t>
        </is>
      </c>
      <c r="S8" s="13">
        <f>IF(COUNTIF($K$3:$K$11,K8)&gt;1,"Código repetido","")</f>
        <v/>
      </c>
    </row>
    <row r="9">
      <c r="A9" s="9" t="inlineStr">
        <is>
          <t>CLI-007</t>
        </is>
      </c>
      <c r="B9" s="9" t="inlineStr">
        <is>
          <t>Rafael Almeida</t>
        </is>
      </c>
      <c r="C9" s="9" t="inlineStr">
        <is>
          <t>456.789.012-33</t>
        </is>
      </c>
      <c r="D9" s="9" t="inlineStr">
        <is>
          <t>Recife</t>
        </is>
      </c>
      <c r="E9" s="9" t="inlineStr">
        <is>
          <t>PE</t>
        </is>
      </c>
      <c r="F9" s="9" t="inlineStr">
        <is>
          <t>Rafael Almeida</t>
        </is>
      </c>
      <c r="G9" s="9" t="inlineStr">
        <is>
          <t>rafael.almeida@educacao.com.br</t>
        </is>
      </c>
      <c r="H9" s="9" t="inlineStr">
        <is>
          <t>Educação</t>
        </is>
      </c>
      <c r="I9" s="9" t="inlineStr">
        <is>
          <t>Carlos Pereira</t>
        </is>
      </c>
      <c r="K9" s="9" t="inlineStr">
        <is>
          <t>EQP-007</t>
        </is>
      </c>
      <c r="L9" s="9" t="inlineStr">
        <is>
          <t>Equipamento de rede corporativo</t>
        </is>
      </c>
      <c r="M9" s="9" t="inlineStr">
        <is>
          <t>Equipamentos</t>
        </is>
      </c>
      <c r="N9" s="9" t="inlineStr">
        <is>
          <t>Unidade</t>
        </is>
      </c>
      <c r="O9" s="34" t="n">
        <v>3500</v>
      </c>
      <c r="P9" s="34" t="n">
        <v>2400</v>
      </c>
      <c r="Q9" s="36" t="n">
        <v>0.12</v>
      </c>
      <c r="R9" s="9" t="inlineStr">
        <is>
          <t>15 dias úteis</t>
        </is>
      </c>
      <c r="S9" s="13">
        <f>IF(COUNTIF($K$3:$K$11,K9)&gt;1,"Código repetido","")</f>
        <v/>
      </c>
    </row>
    <row r="10">
      <c r="A10" s="14" t="inlineStr">
        <is>
          <t>CLI-008</t>
        </is>
      </c>
      <c r="B10" s="14" t="inlineStr">
        <is>
          <t>Camila Ferreira</t>
        </is>
      </c>
      <c r="C10" s="14" t="inlineStr">
        <is>
          <t>45.678.901/0001-23</t>
        </is>
      </c>
      <c r="D10" s="14" t="inlineStr">
        <is>
          <t>Brasília</t>
        </is>
      </c>
      <c r="E10" s="14" t="inlineStr">
        <is>
          <t>DF</t>
        </is>
      </c>
      <c r="F10" s="14" t="inlineStr">
        <is>
          <t>Camila Ferreira</t>
        </is>
      </c>
      <c r="G10" s="14" t="inlineStr">
        <is>
          <t>camila.ferreira@consultoria.com.br</t>
        </is>
      </c>
      <c r="H10" s="14" t="inlineStr">
        <is>
          <t>Consultoria</t>
        </is>
      </c>
      <c r="I10" s="14" t="inlineStr">
        <is>
          <t>Juliana Costa</t>
        </is>
      </c>
      <c r="K10" s="14" t="inlineStr">
        <is>
          <t>SVC-008</t>
        </is>
      </c>
      <c r="L10" s="14" t="inlineStr">
        <is>
          <t>Frete e logística de entrega</t>
        </is>
      </c>
      <c r="M10" s="14" t="inlineStr">
        <is>
          <t>Logística</t>
        </is>
      </c>
      <c r="N10" s="14" t="inlineStr">
        <is>
          <t>Serviço</t>
        </is>
      </c>
      <c r="O10" s="37" t="n">
        <v>350</v>
      </c>
      <c r="P10" s="37" t="n">
        <v>220</v>
      </c>
      <c r="Q10" s="38" t="n">
        <v>0.05</v>
      </c>
      <c r="R10" s="14" t="inlineStr">
        <is>
          <t>3 dias úteis</t>
        </is>
      </c>
      <c r="S10" s="13">
        <f>IF(COUNTIF($K$3:$K$11,K10)&gt;1,"Código repetido","")</f>
        <v/>
      </c>
    </row>
    <row r="11">
      <c r="A11" s="9" t="inlineStr">
        <is>
          <t>CLI-009</t>
        </is>
      </c>
      <c r="B11" s="9" t="inlineStr">
        <is>
          <t>Lucas Rodrigues</t>
        </is>
      </c>
      <c r="C11" s="9" t="inlineStr">
        <is>
          <t>567.890.123-44</t>
        </is>
      </c>
      <c r="D11" s="9" t="inlineStr">
        <is>
          <t>Porto Alegre</t>
        </is>
      </c>
      <c r="E11" s="9" t="inlineStr">
        <is>
          <t>RS</t>
        </is>
      </c>
      <c r="F11" s="9" t="inlineStr">
        <is>
          <t>Lucas Rodrigues</t>
        </is>
      </c>
      <c r="G11" s="9" t="inlineStr">
        <is>
          <t>lucas.rodrigues@financeiro.com.br</t>
        </is>
      </c>
      <c r="H11" s="9" t="inlineStr">
        <is>
          <t>Financeiro</t>
        </is>
      </c>
      <c r="I11" s="9" t="inlineStr">
        <is>
          <t>Ana Souza</t>
        </is>
      </c>
      <c r="K11" s="9" t="inlineStr">
        <is>
          <t>SVC-009</t>
        </is>
      </c>
      <c r="L11" s="9" t="inlineStr">
        <is>
          <t>Configuração de ambiente em nuvem</t>
        </is>
      </c>
      <c r="M11" s="9" t="inlineStr">
        <is>
          <t>Serviços</t>
        </is>
      </c>
      <c r="N11" s="9" t="inlineStr">
        <is>
          <t>Serviço</t>
        </is>
      </c>
      <c r="O11" s="34" t="n">
        <v>1900</v>
      </c>
      <c r="P11" s="34" t="n">
        <v>1100</v>
      </c>
      <c r="Q11" s="36" t="n">
        <v>0.14</v>
      </c>
      <c r="R11" s="9" t="inlineStr">
        <is>
          <t>5 dias úteis</t>
        </is>
      </c>
      <c r="S11" s="13">
        <f>IF(COUNTIF($K$3:$K$11,K11)&gt;1,"Código repetido","")</f>
        <v/>
      </c>
    </row>
  </sheetData>
  <mergeCells count="2">
    <mergeCell ref="A1:I1"/>
    <mergeCell ref="K1:S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20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14" customWidth="1" min="3" max="3"/>
    <col width="14" customWidth="1" min="4" max="4"/>
    <col width="14" customWidth="1" min="5" max="5"/>
    <col width="15" customWidth="1" min="6" max="6"/>
    <col width="14" customWidth="1" min="7" max="7"/>
    <col width="14" customWidth="1" min="8" max="8"/>
    <col width="24" customWidth="1" min="9" max="9"/>
    <col width="14" customWidth="1" min="10" max="10"/>
    <col width="18" customWidth="1" min="12" max="12"/>
    <col width="14" customWidth="1" min="13" max="13"/>
    <col width="16" customWidth="1" min="14" max="14"/>
  </cols>
  <sheetData>
    <row r="1" ht="28" customHeight="1">
      <c r="A1" s="1" t="inlineStr">
        <is>
          <t>PAINEL DE ACOMPANHAMENTO COMERCIAL</t>
        </is>
      </c>
    </row>
    <row r="2"/>
    <row r="3">
      <c r="A3" s="2" t="inlineStr">
        <is>
          <t>Total de propostas</t>
        </is>
      </c>
      <c r="B3" s="23">
        <f>COUNTIF(A10:A19,"&lt;&gt;")</f>
        <v/>
      </c>
      <c r="C3" s="2" t="inlineStr">
        <is>
          <t>Propostas enviadas</t>
        </is>
      </c>
      <c r="D3" s="23">
        <f>COUNTIF(D10:D19,"Enviada")</f>
        <v/>
      </c>
      <c r="E3" s="2" t="inlineStr">
        <is>
          <t>Taxa de aprovação</t>
        </is>
      </c>
      <c r="F3" s="41">
        <f>IFERROR(B4/B3,0)</f>
        <v/>
      </c>
      <c r="G3" s="2" t="inlineStr">
        <is>
          <t>Valor total aprovado</t>
        </is>
      </c>
      <c r="H3" s="42">
        <f>SUMIF(D10:D19,"Aprovada",F10:F19)</f>
        <v/>
      </c>
    </row>
    <row r="4">
      <c r="A4" s="2" t="inlineStr">
        <is>
          <t>Propostas aprovadas</t>
        </is>
      </c>
      <c r="B4" s="23">
        <f>COUNTIF(D10:D19,"Aprovada")</f>
        <v/>
      </c>
      <c r="C4" s="2" t="inlineStr">
        <is>
          <t>Propostas recusadas</t>
        </is>
      </c>
      <c r="D4" s="23">
        <f>COUNTIF(D10:D19,"Recusada")</f>
        <v/>
      </c>
      <c r="E4" s="2" t="inlineStr">
        <is>
          <t>Valor médio das propostas</t>
        </is>
      </c>
      <c r="F4" s="42">
        <f>IFERROR(AVERAGE(F10:F19),0)</f>
        <v/>
      </c>
      <c r="G4" s="2" t="inlineStr">
        <is>
          <t>Propostas vigentes</t>
        </is>
      </c>
      <c r="H4" s="23">
        <f>COUNTIF(I10:I19,"Vigente")</f>
        <v/>
      </c>
    </row>
    <row r="5"/>
    <row r="6"/>
    <row r="7">
      <c r="A7" s="5" t="inlineStr">
        <is>
          <t>ACOMPANHAMENTO DAS PROPOSTAS</t>
        </is>
      </c>
    </row>
    <row r="8">
      <c r="L8" s="17" t="inlineStr">
        <is>
          <t>Resumo por status</t>
        </is>
      </c>
    </row>
    <row r="9" ht="28" customHeight="1">
      <c r="A9" s="6" t="inlineStr">
        <is>
          <t>Número da proposta</t>
        </is>
      </c>
      <c r="B9" s="6" t="inlineStr">
        <is>
          <t>Data</t>
        </is>
      </c>
      <c r="C9" s="6" t="inlineStr">
        <is>
          <t>Cliente</t>
        </is>
      </c>
      <c r="D9" s="6" t="inlineStr">
        <is>
          <t>Status</t>
        </is>
      </c>
      <c r="E9" s="6" t="inlineStr">
        <is>
          <t>Vendedor</t>
        </is>
      </c>
      <c r="F9" s="6" t="inlineStr">
        <is>
          <t>Valor total</t>
        </is>
      </c>
      <c r="G9" s="6" t="inlineStr">
        <is>
          <t>Cidade</t>
        </is>
      </c>
      <c r="H9" s="6" t="inlineStr">
        <is>
          <t>Validade</t>
        </is>
      </c>
      <c r="I9" s="6" t="inlineStr">
        <is>
          <t>Situação da validade</t>
        </is>
      </c>
      <c r="J9" s="6" t="inlineStr">
        <is>
          <t>Observação</t>
        </is>
      </c>
      <c r="L9" s="6" t="inlineStr">
        <is>
          <t>Status</t>
        </is>
      </c>
      <c r="M9" s="6" t="inlineStr">
        <is>
          <t>Qtd</t>
        </is>
      </c>
      <c r="N9" s="6" t="inlineStr">
        <is>
          <t>Valor total</t>
        </is>
      </c>
    </row>
    <row r="10">
      <c r="A10" s="9" t="inlineStr">
        <is>
          <t>PROP-2026-006</t>
        </is>
      </c>
      <c r="B10" s="43" t="n">
        <v>46174</v>
      </c>
      <c r="C10" s="9" t="inlineStr">
        <is>
          <t>João Silva</t>
        </is>
      </c>
      <c r="D10" s="9" t="inlineStr">
        <is>
          <t>Aprovada</t>
        </is>
      </c>
      <c r="E10" s="9" t="inlineStr">
        <is>
          <t>Ana Souza</t>
        </is>
      </c>
      <c r="F10" s="34" t="n">
        <v>18500</v>
      </c>
      <c r="G10" s="9" t="inlineStr">
        <is>
          <t>São Paulo</t>
        </is>
      </c>
      <c r="H10" s="43" t="n">
        <v>46204</v>
      </c>
      <c r="I10" s="7">
        <f>IF(H10&lt;TODAY(),"Vencida",IF(H10-TODAY()&lt;=7,"Vence em breve","Vigente"))</f>
        <v/>
      </c>
      <c r="L10" s="18" t="inlineStr">
        <is>
          <t>Rascunho</t>
        </is>
      </c>
      <c r="M10" s="18">
        <f>COUNTIF(D10:D19,"Rascunho")</f>
        <v/>
      </c>
      <c r="N10" s="44">
        <f>SUMIF(D10:D19,"Rascunho",F10:F19)</f>
        <v/>
      </c>
    </row>
    <row r="11">
      <c r="A11" s="14" t="inlineStr">
        <is>
          <t>PROP-2026-007</t>
        </is>
      </c>
      <c r="B11" s="45" t="n">
        <v>46181</v>
      </c>
      <c r="C11" s="14" t="inlineStr">
        <is>
          <t>Pedro Santos</t>
        </is>
      </c>
      <c r="D11" s="14" t="inlineStr">
        <is>
          <t>Aprovada</t>
        </is>
      </c>
      <c r="E11" s="14" t="inlineStr">
        <is>
          <t>Ana Souza</t>
        </is>
      </c>
      <c r="F11" s="37" t="n">
        <v>9800</v>
      </c>
      <c r="G11" s="14" t="inlineStr">
        <is>
          <t>Belo Horizonte</t>
        </is>
      </c>
      <c r="H11" s="45" t="n">
        <v>46211</v>
      </c>
      <c r="I11" s="13">
        <f>IF(H11&lt;TODAY(),"Vencida",IF(H11-TODAY()&lt;=7,"Vence em breve","Vigente"))</f>
        <v/>
      </c>
      <c r="L11" s="18" t="inlineStr">
        <is>
          <t>Enviada</t>
        </is>
      </c>
      <c r="M11" s="18">
        <f>COUNTIF(D10:D19,"Enviada")</f>
        <v/>
      </c>
      <c r="N11" s="44">
        <f>SUMIF(D10:D19,"Enviada",F10:F19)</f>
        <v/>
      </c>
    </row>
    <row r="12">
      <c r="A12" s="9" t="inlineStr">
        <is>
          <t>PROP-2026-008</t>
        </is>
      </c>
      <c r="B12" s="43" t="n">
        <v>46188</v>
      </c>
      <c r="C12" s="9" t="inlineStr">
        <is>
          <t>Ana Souza</t>
        </is>
      </c>
      <c r="D12" s="9" t="inlineStr">
        <is>
          <t>Enviada</t>
        </is>
      </c>
      <c r="E12" s="9" t="inlineStr">
        <is>
          <t>Carlos Pereira</t>
        </is>
      </c>
      <c r="F12" s="34" t="n">
        <v>12400</v>
      </c>
      <c r="G12" s="9" t="inlineStr">
        <is>
          <t>Curitiba</t>
        </is>
      </c>
      <c r="H12" s="43" t="n">
        <v>46239</v>
      </c>
      <c r="I12" s="7">
        <f>IF(H12&lt;TODAY(),"Vencida",IF(H12-TODAY()&lt;=7,"Vence em breve","Vigente"))</f>
        <v/>
      </c>
      <c r="L12" s="18" t="inlineStr">
        <is>
          <t>Aprovada</t>
        </is>
      </c>
      <c r="M12" s="18">
        <f>COUNTIF(D10:D19,"Aprovada")</f>
        <v/>
      </c>
      <c r="N12" s="44">
        <f>SUMIF(D10:D19,"Aprovada",F10:F19)</f>
        <v/>
      </c>
    </row>
    <row r="13">
      <c r="A13" s="14" t="inlineStr">
        <is>
          <t>PROP-2026-009</t>
        </is>
      </c>
      <c r="B13" s="45" t="n">
        <v>46193</v>
      </c>
      <c r="C13" s="14" t="inlineStr">
        <is>
          <t>Carlos Pereira</t>
        </is>
      </c>
      <c r="D13" s="14" t="inlineStr">
        <is>
          <t>Recusada</t>
        </is>
      </c>
      <c r="E13" s="14" t="inlineStr">
        <is>
          <t>Juliana Costa</t>
        </is>
      </c>
      <c r="F13" s="37" t="n">
        <v>7600</v>
      </c>
      <c r="G13" s="14" t="inlineStr">
        <is>
          <t>Campinas</t>
        </is>
      </c>
      <c r="H13" s="45" t="n">
        <v>46223</v>
      </c>
      <c r="I13" s="13">
        <f>IF(H13&lt;TODAY(),"Vencida",IF(H13-TODAY()&lt;=7,"Vence em breve","Vigente"))</f>
        <v/>
      </c>
      <c r="L13" s="18" t="inlineStr">
        <is>
          <t>Recusada</t>
        </is>
      </c>
      <c r="M13" s="18">
        <f>COUNTIF(D10:D19,"Recusada")</f>
        <v/>
      </c>
      <c r="N13" s="44">
        <f>SUMIF(D10:D19,"Recusada",F10:F19)</f>
        <v/>
      </c>
    </row>
    <row r="14">
      <c r="A14" s="9" t="inlineStr">
        <is>
          <t>PROP-2026-010</t>
        </is>
      </c>
      <c r="B14" s="43" t="n">
        <v>46201</v>
      </c>
      <c r="C14" s="9" t="inlineStr">
        <is>
          <t>Juliana Costa</t>
        </is>
      </c>
      <c r="D14" s="9" t="inlineStr">
        <is>
          <t>Aprovada</t>
        </is>
      </c>
      <c r="E14" s="9" t="inlineStr">
        <is>
          <t>Rafael Almeida</t>
        </is>
      </c>
      <c r="F14" s="34" t="n">
        <v>15200</v>
      </c>
      <c r="G14" s="9" t="inlineStr">
        <is>
          <t>Salvador</t>
        </is>
      </c>
      <c r="H14" s="43" t="n">
        <v>46231</v>
      </c>
      <c r="I14" s="7">
        <f>IF(H14&lt;TODAY(),"Vencida",IF(H14-TODAY()&lt;=7,"Vence em breve","Vigente"))</f>
        <v/>
      </c>
    </row>
    <row r="15">
      <c r="A15" s="14" t="inlineStr">
        <is>
          <t>PROP-2026-011</t>
        </is>
      </c>
      <c r="B15" s="45" t="n">
        <v>46206</v>
      </c>
      <c r="C15" s="14" t="inlineStr">
        <is>
          <t>Rafael Almeida</t>
        </is>
      </c>
      <c r="D15" s="14" t="inlineStr">
        <is>
          <t>Enviada</t>
        </is>
      </c>
      <c r="E15" s="14" t="inlineStr">
        <is>
          <t>Carlos Pereira</t>
        </is>
      </c>
      <c r="F15" s="37" t="n">
        <v>5400</v>
      </c>
      <c r="G15" s="14" t="inlineStr">
        <is>
          <t>Recife</t>
        </is>
      </c>
      <c r="H15" s="45" t="n">
        <v>46236</v>
      </c>
      <c r="I15" s="13">
        <f>IF(H15&lt;TODAY(),"Vencida",IF(H15-TODAY()&lt;=7,"Vence em breve","Vigente"))</f>
        <v/>
      </c>
      <c r="L15" s="17" t="inlineStr">
        <is>
          <t>Valor por vendedor</t>
        </is>
      </c>
    </row>
    <row r="16">
      <c r="A16" s="9" t="inlineStr">
        <is>
          <t>PROP-2026-012</t>
        </is>
      </c>
      <c r="B16" s="43" t="n">
        <v>46211</v>
      </c>
      <c r="C16" s="9" t="inlineStr">
        <is>
          <t>Camila Ferreira</t>
        </is>
      </c>
      <c r="D16" s="9" t="inlineStr">
        <is>
          <t>Rascunho</t>
        </is>
      </c>
      <c r="E16" s="9" t="inlineStr">
        <is>
          <t>Juliana Costa</t>
        </is>
      </c>
      <c r="F16" s="34" t="n">
        <v>21800</v>
      </c>
      <c r="G16" s="9" t="inlineStr">
        <is>
          <t>Brasília</t>
        </is>
      </c>
      <c r="H16" s="43" t="n">
        <v>46241</v>
      </c>
      <c r="I16" s="7">
        <f>IF(H16&lt;TODAY(),"Vencida",IF(H16-TODAY()&lt;=7,"Vence em breve","Vigente"))</f>
        <v/>
      </c>
      <c r="L16" s="6" t="inlineStr">
        <is>
          <t>Vendedor</t>
        </is>
      </c>
      <c r="M16" s="6" t="inlineStr">
        <is>
          <t>Valor total</t>
        </is>
      </c>
    </row>
    <row r="17">
      <c r="A17" s="14" t="inlineStr">
        <is>
          <t>PROP-2026-013</t>
        </is>
      </c>
      <c r="B17" s="45" t="n">
        <v>46213</v>
      </c>
      <c r="C17" s="14" t="inlineStr">
        <is>
          <t>Lucas Rodrigues</t>
        </is>
      </c>
      <c r="D17" s="14" t="inlineStr">
        <is>
          <t>Enviada</t>
        </is>
      </c>
      <c r="E17" s="14" t="inlineStr">
        <is>
          <t>Ana Souza</t>
        </is>
      </c>
      <c r="F17" s="37" t="n">
        <v>8900</v>
      </c>
      <c r="G17" s="14" t="inlineStr">
        <is>
          <t>Porto Alegre</t>
        </is>
      </c>
      <c r="H17" s="45" t="n">
        <v>46243</v>
      </c>
      <c r="I17" s="13">
        <f>IF(H17&lt;TODAY(),"Vencida",IF(H17-TODAY()&lt;=7,"Vence em breve","Vigente"))</f>
        <v/>
      </c>
      <c r="L17" s="29" t="inlineStr">
        <is>
          <t>Ana Souza</t>
        </is>
      </c>
      <c r="M17" s="46">
        <f>SUMIF(E10:E19,"Ana Souza",F10:F19)</f>
        <v/>
      </c>
    </row>
    <row r="18">
      <c r="A18" s="9" t="inlineStr">
        <is>
          <t>PROP-2026-014</t>
        </is>
      </c>
      <c r="B18" s="43" t="n">
        <v>46218</v>
      </c>
      <c r="C18" s="9" t="inlineStr">
        <is>
          <t>Maria Oliveira</t>
        </is>
      </c>
      <c r="D18" s="9" t="inlineStr">
        <is>
          <t>Enviada</t>
        </is>
      </c>
      <c r="E18" s="9" t="inlineStr">
        <is>
          <t>Rafael Almeida</t>
        </is>
      </c>
      <c r="F18" s="34" t="n">
        <v>24150</v>
      </c>
      <c r="G18" s="9" t="inlineStr">
        <is>
          <t>Rio de Janeiro</t>
        </is>
      </c>
      <c r="H18" s="43" t="n">
        <v>46248</v>
      </c>
      <c r="I18" s="7">
        <f>IF(H18&lt;TODAY(),"Vencida",IF(H18-TODAY()&lt;=7,"Vence em breve","Vigente"))</f>
        <v/>
      </c>
      <c r="L18" s="29" t="inlineStr">
        <is>
          <t>Carlos Pereira</t>
        </is>
      </c>
      <c r="M18" s="46">
        <f>SUMIF(E10:E19,"Carlos Pereira",F10:F19)</f>
        <v/>
      </c>
    </row>
    <row r="19">
      <c r="A19" s="14" t="inlineStr">
        <is>
          <t>PROP-2026-015</t>
        </is>
      </c>
      <c r="B19" s="45" t="n">
        <v>46225</v>
      </c>
      <c r="C19" s="14" t="inlineStr">
        <is>
          <t>João Silva</t>
        </is>
      </c>
      <c r="D19" s="14" t="inlineStr">
        <is>
          <t>Rascunho</t>
        </is>
      </c>
      <c r="E19" s="14" t="inlineStr">
        <is>
          <t>Ana Souza</t>
        </is>
      </c>
      <c r="F19" s="37" t="n">
        <v>6700</v>
      </c>
      <c r="G19" s="14" t="inlineStr">
        <is>
          <t>São Paulo</t>
        </is>
      </c>
      <c r="H19" s="45" t="n">
        <v>46235</v>
      </c>
      <c r="I19" s="13">
        <f>IF(H19&lt;TODAY(),"Vencida",IF(H19-TODAY()&lt;=7,"Vence em breve","Vigente"))</f>
        <v/>
      </c>
      <c r="L19" s="29" t="inlineStr">
        <is>
          <t>Juliana Costa</t>
        </is>
      </c>
      <c r="M19" s="46">
        <f>SUMIF(E10:E19,"Juliana Costa",F10:F19)</f>
        <v/>
      </c>
    </row>
    <row r="20">
      <c r="L20" s="29" t="inlineStr">
        <is>
          <t>Rafael Almeida</t>
        </is>
      </c>
      <c r="M20" s="46">
        <f>SUMIF(E10:E19,"Rafael Almeida",F10:F19)</f>
        <v/>
      </c>
    </row>
  </sheetData>
  <mergeCells count="2">
    <mergeCell ref="A1:J1"/>
    <mergeCell ref="A7:J7"/>
  </mergeCells>
  <conditionalFormatting sqref="D10:D19">
    <cfRule type="expression" priority="1" dxfId="0" stopIfTrue="1">
      <formula>$D10="Aprovada"</formula>
    </cfRule>
    <cfRule type="expression" priority="2" dxfId="1" stopIfTrue="1">
      <formula>$D10="Recusada"</formula>
    </cfRule>
  </conditionalFormatting>
  <conditionalFormatting sqref="I10:I19">
    <cfRule type="expression" priority="3" dxfId="1" stopIfTrue="1">
      <formula>$I10="Vencida"</formula>
    </cfRule>
    <cfRule type="expression" priority="4" dxfId="2" stopIfTrue="1">
      <formula>$I10="Vence em breve"</formula>
    </cfRule>
  </conditionalFormatting>
  <dataValidations count="1">
    <dataValidation sqref="D10:D19" showErrorMessage="1" showInputMessage="1" allowBlank="1" type="list">
      <formula1>"Rascunho,Enviada,Aprovada,Recusada"</formula1>
    </dataValidation>
  </dataValidation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110" customWidth="1" min="2" max="2"/>
    <col width="5" customWidth="1" min="3" max="3"/>
  </cols>
  <sheetData>
    <row r="1" ht="28" customHeight="1">
      <c r="A1" s="1" t="inlineStr">
        <is>
          <t>INSTRUÇÕES DE USO — PROPOSTA COMERCIAL</t>
        </is>
      </c>
    </row>
    <row r="2"/>
    <row r="3" ht="30" customHeight="1">
      <c r="A3" s="6" t="inlineStr">
        <is>
          <t>Passo</t>
        </is>
      </c>
      <c r="B3" s="6" t="inlineStr">
        <is>
          <t>Orientação</t>
        </is>
      </c>
    </row>
    <row r="4" ht="30" customHeight="1">
      <c r="A4" s="31" t="inlineStr">
        <is>
          <t>1</t>
        </is>
      </c>
      <c r="B4" s="9" t="inlineStr">
        <is>
          <t>Cadastre clientes e produtos na aba 'Base de Dados' antes de montar a proposta.</t>
        </is>
      </c>
    </row>
    <row r="5" ht="30" customHeight="1">
      <c r="A5" s="32" t="inlineStr">
        <is>
          <t>2</t>
        </is>
      </c>
      <c r="B5" s="14" t="inlineStr">
        <is>
          <t>Preencha os campos em amarelo na aba 'Proposta': dados do cliente, condições e itens.</t>
        </is>
      </c>
    </row>
    <row r="6" ht="30" customHeight="1">
      <c r="A6" s="31" t="inlineStr">
        <is>
          <t>3</t>
        </is>
      </c>
      <c r="B6" s="9" t="inlineStr">
        <is>
          <t>Informe quantidades, descontos e condições comerciais; os códigos trazem descrição, preço e imposto automaticamente.</t>
        </is>
      </c>
    </row>
    <row r="7" ht="30" customHeight="1">
      <c r="A7" s="32" t="inlineStr">
        <is>
          <t>4</t>
        </is>
      </c>
      <c r="B7" s="14" t="inlineStr">
        <is>
          <t>Revise os totais calculados automaticamente no rodapé da aba 'Proposta' antes de enviar ao cliente.</t>
        </is>
      </c>
    </row>
    <row r="8" ht="30" customHeight="1">
      <c r="A8" s="31" t="inlineStr">
        <is>
          <t>5</t>
        </is>
      </c>
      <c r="B8" s="9" t="inlineStr">
        <is>
          <t>Atualize o status e a validade na aba 'Resumo' para acompanhar o funil comercial.</t>
        </is>
      </c>
    </row>
    <row r="9" ht="30" customHeight="1">
      <c r="A9" s="32" t="inlineStr">
        <is>
          <t>6</t>
        </is>
      </c>
      <c r="B9" s="14" t="inlineStr">
        <is>
          <t>Utilize os gráficos do painel para acompanhar o desempenho por status, vendedor e cliente.</t>
        </is>
      </c>
    </row>
    <row r="10" ht="30" customHeight="1">
      <c r="A10" s="31" t="inlineStr">
        <is>
          <t>Dica</t>
        </is>
      </c>
      <c r="B10" s="9" t="inlineStr">
        <is>
          <t>Células em amarelo-pálido (#FFFBEB) indicam campos editáveis. As demais são calculadas ou de consulta.</t>
        </is>
      </c>
    </row>
    <row r="11" ht="30" customHeight="1">
      <c r="A11" s="32" t="inlineStr">
        <is>
          <t>Dica</t>
        </is>
      </c>
      <c r="B11" s="14" t="inlineStr">
        <is>
          <t>A coluna 'Conferência' na Base de Dados e na Proposta sinaliza códigos repetidos automaticamente.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2026-08-01T17:35:21Z</dcterms:created>
  <dcterms:modified xmlns:dcterms="http://purl.org/dc/terms/" xmlns:xsi="http://www.w3.org/2001/XMLSchema-instance" xsi:type="dcterms:W3CDTF">2026-08-01T17:35:21Z</dcterms:modified>
</cp:coreProperties>
</file>