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arcelamentos" sheetId="1" state="visible" r:id="rId1"/>
    <sheet xmlns:r="http://schemas.openxmlformats.org/officeDocument/2006/relationships" name="Resumo" sheetId="2" state="visible" r:id="rId2"/>
    <sheet xmlns:r="http://schemas.openxmlformats.org/officeDocument/2006/relationships" name="Instruçõ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d/mm/aaaa"/>
    <numFmt numFmtId="165" formatCode="&quot;R$&quot; #.##0,00"/>
    <numFmt numFmtId="166" formatCode="0.0%"/>
  </numFmts>
  <fonts count="6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color rgb="001E293B"/>
      <sz val="16"/>
    </font>
    <font>
      <name val="Calibri"/>
      <b val="1"/>
      <sz val="11"/>
    </font>
    <font>
      <name val="Calibri"/>
      <sz val="11"/>
    </font>
    <font>
      <b val="1"/>
      <color rgb="00FFFFFF"/>
      <sz val="11"/>
    </font>
  </fonts>
  <fills count="8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FFBEB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C8102E"/>
      </patternFill>
    </fill>
    <fill>
      <patternFill patternType="solid">
        <fgColor rgb="0014B8A6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 wrapText="1"/>
    </xf>
    <xf numFmtId="164" fontId="0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left" vertical="center"/>
    </xf>
    <xf numFmtId="165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 wrapText="1"/>
    </xf>
    <xf numFmtId="165" fontId="0" fillId="4" borderId="1" applyAlignment="1" pivotButton="0" quotePrefix="0" xfId="0">
      <alignment horizontal="center" vertical="center" wrapText="1"/>
    </xf>
    <xf numFmtId="164" fontId="0" fillId="3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center" vertical="center" wrapText="1"/>
    </xf>
    <xf numFmtId="164" fontId="0" fillId="5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left" vertical="center"/>
    </xf>
    <xf numFmtId="165" fontId="0" fillId="5" borderId="1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1" fillId="6" borderId="0" applyAlignment="1" pivotButton="0" quotePrefix="0" xfId="0">
      <alignment horizontal="center" vertical="center" wrapText="1"/>
    </xf>
    <xf numFmtId="0" fontId="3" fillId="4" borderId="1" pivotButton="0" quotePrefix="0" xfId="0"/>
    <xf numFmtId="1" fontId="4" fillId="4" borderId="1" pivotButton="0" quotePrefix="0" xfId="0"/>
    <xf numFmtId="0" fontId="3" fillId="5" borderId="1" pivotButton="0" quotePrefix="0" xfId="0"/>
    <xf numFmtId="1" fontId="4" fillId="5" borderId="1" pivotButton="0" quotePrefix="0" xfId="0"/>
    <xf numFmtId="165" fontId="4" fillId="4" borderId="1" pivotButton="0" quotePrefix="0" xfId="0"/>
    <xf numFmtId="165" fontId="4" fillId="5" borderId="1" pivotButton="0" quotePrefix="0" xfId="0"/>
    <xf numFmtId="166" fontId="4" fillId="5" borderId="1" pivotButton="0" quotePrefix="0" xfId="0"/>
    <xf numFmtId="0" fontId="3" fillId="0" borderId="1" pivotButton="0" quotePrefix="0" xfId="0"/>
    <xf numFmtId="0" fontId="0" fillId="4" borderId="1" pivotButton="0" quotePrefix="0" xfId="0"/>
    <xf numFmtId="165" fontId="0" fillId="4" borderId="1" pivotButton="0" quotePrefix="0" xfId="0"/>
    <xf numFmtId="0" fontId="0" fillId="5" borderId="1" pivotButton="0" quotePrefix="0" xfId="0"/>
    <xf numFmtId="165" fontId="0" fillId="5" borderId="1" pivotButton="0" quotePrefix="0" xfId="0"/>
    <xf numFmtId="0" fontId="5" fillId="7" borderId="1" applyAlignment="1" pivotButton="0" quotePrefix="0" xfId="0">
      <alignment horizontal="left" vertical="center"/>
    </xf>
    <xf numFmtId="0" fontId="4" fillId="0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 hidden="0"/>
  </cellStyles>
  <dxfs count="4">
    <dxf>
      <font>
        <b val="1"/>
        <color rgb="00FFFFFF"/>
      </font>
      <fill>
        <patternFill patternType="solid">
          <fgColor rgb="0016A34A"/>
        </patternFill>
      </fill>
    </dxf>
    <dxf>
      <font>
        <b val="1"/>
        <color rgb="001E293B"/>
      </font>
      <fill>
        <patternFill patternType="solid">
          <fgColor rgb="00FBBF24"/>
        </patternFill>
      </fill>
    </dxf>
    <dxf>
      <font>
        <b val="1"/>
        <color rgb="00FFFFFF"/>
      </font>
      <fill>
        <patternFill patternType="solid">
          <fgColor rgb="00DC2626"/>
        </patternFill>
      </fill>
    </dxf>
    <dxf>
      <fill>
        <patternFill patternType="solid">
          <fgColor rgb="00FFFBE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Valor total por categoria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'Resumo'!B12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'Resumo'!$A$13:$A$20</f>
            </numRef>
          </cat>
          <val>
            <numRef>
              <f>'Resumo'!$B$13:$B$20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Valor (R$)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Distribuição por status</a:t>
            </a:r>
          </a:p>
        </rich>
      </tx>
    </title>
    <plotArea>
      <pieChart>
        <varyColors val="1"/>
        <ser>
          <idx val="0"/>
          <order val="0"/>
          <tx>
            <strRef>
              <f>'Resumo'!B23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'Resumo'!$A$24:$A$26</f>
            </numRef>
          </cat>
          <val>
            <numRef>
              <f>'Resumo'!$B$24:$B$26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1ª parcela por mês (2026)</a:t>
            </a:r>
          </a:p>
        </rich>
      </tx>
    </title>
    <plotArea>
      <lineChart>
        <grouping val="standard"/>
        <ser>
          <idx val="0"/>
          <order val="0"/>
          <tx>
            <strRef>
              <f>'Resumo'!B29</f>
            </strRef>
          </tx>
          <spPr>
            <a:ln xmlns:a="http://schemas.openxmlformats.org/drawingml/2006/main" w="20000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'Resumo'!$A$30:$A$41</f>
            </numRef>
          </cat>
          <val>
            <numRef>
              <f>'Resumo'!$B$30:$B$41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Mês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Qtd. de compras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3</col>
      <colOff>0</colOff>
      <row>2</row>
      <rowOff>0</rowOff>
    </from>
    <ext cx="648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20</row>
      <rowOff>0</rowOff>
    </from>
    <ext cx="432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3</col>
      <colOff>0</colOff>
      <row>37</row>
      <rowOff>0</rowOff>
    </from>
    <ext cx="6480000" cy="324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1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6" customWidth="1" min="1" max="1"/>
    <col width="14" customWidth="1" min="2" max="2"/>
    <col width="26" customWidth="1" min="3" max="3"/>
    <col width="16" customWidth="1" min="4" max="4"/>
    <col width="20" customWidth="1" min="5" max="5"/>
    <col width="18" customWidth="1" min="6" max="6"/>
    <col width="14" customWidth="1" min="7" max="7"/>
    <col width="12" customWidth="1" min="8" max="8"/>
    <col width="15" customWidth="1" min="9" max="9"/>
    <col width="14" customWidth="1" min="10" max="10"/>
    <col width="12" customWidth="1" min="11" max="11"/>
    <col width="13" customWidth="1" min="12" max="12"/>
    <col width="15" customWidth="1" min="13" max="13"/>
    <col width="15" customWidth="1" min="14" max="14"/>
    <col width="15" customWidth="1" min="15" max="15"/>
    <col width="16" customWidth="1" min="16" max="16"/>
    <col width="26" customWidth="1" min="17" max="17"/>
  </cols>
  <sheetData>
    <row r="1" ht="28" customHeight="1">
      <c r="A1" s="1" t="inlineStr">
        <is>
          <t>ID</t>
        </is>
      </c>
      <c r="B1" s="1" t="inlineStr">
        <is>
          <t>Data da compra</t>
        </is>
      </c>
      <c r="C1" s="1" t="inlineStr">
        <is>
          <t>Descrição</t>
        </is>
      </c>
      <c r="D1" s="1" t="inlineStr">
        <is>
          <t>Categoria</t>
        </is>
      </c>
      <c r="E1" s="1" t="inlineStr">
        <is>
          <t>Estabelecimento</t>
        </is>
      </c>
      <c r="F1" s="1" t="inlineStr">
        <is>
          <t>Cidade</t>
        </is>
      </c>
      <c r="G1" s="1" t="inlineStr">
        <is>
          <t>Valor total</t>
        </is>
      </c>
      <c r="H1" s="1" t="inlineStr">
        <is>
          <t>Qtd. parcelas</t>
        </is>
      </c>
      <c r="I1" s="1" t="inlineStr">
        <is>
          <t>Valor da parcela</t>
        </is>
      </c>
      <c r="J1" s="1" t="inlineStr">
        <is>
          <t>1ª parcela</t>
        </is>
      </c>
      <c r="K1" s="1" t="inlineStr">
        <is>
          <t>Parcela atual</t>
        </is>
      </c>
      <c r="L1" s="1" t="inlineStr">
        <is>
          <t>Parcelas pagas</t>
        </is>
      </c>
      <c r="M1" s="1" t="inlineStr">
        <is>
          <t>Parcelas restantes</t>
        </is>
      </c>
      <c r="N1" s="1" t="inlineStr">
        <is>
          <t>Total pago</t>
        </is>
      </c>
      <c r="O1" s="1" t="inlineStr">
        <is>
          <t>Saldo a pagar</t>
        </is>
      </c>
      <c r="P1" s="1" t="inlineStr">
        <is>
          <t>Status</t>
        </is>
      </c>
      <c r="Q1" s="1" t="inlineStr">
        <is>
          <t>Observações</t>
        </is>
      </c>
    </row>
    <row r="2">
      <c r="A2" s="2" t="n">
        <v>1</v>
      </c>
      <c r="B2" s="3" t="inlineStr">
        <is>
          <t>05/01/2026</t>
        </is>
      </c>
      <c r="C2" s="4" t="inlineStr">
        <is>
          <t>Smartphone Galaxy</t>
        </is>
      </c>
      <c r="D2" s="4" t="inlineStr">
        <is>
          <t>Eletrônicos</t>
        </is>
      </c>
      <c r="E2" s="4" t="inlineStr">
        <is>
          <t>Celular Show</t>
        </is>
      </c>
      <c r="F2" s="4" t="inlineStr">
        <is>
          <t>São Paulo</t>
        </is>
      </c>
      <c r="G2" s="5" t="n">
        <v>3600</v>
      </c>
      <c r="H2" s="6" t="n">
        <v>10</v>
      </c>
      <c r="I2" s="7">
        <f>IFERROR(G2/H2,0)</f>
        <v/>
      </c>
      <c r="J2" s="8" t="inlineStr">
        <is>
          <t>05/02/2026</t>
        </is>
      </c>
      <c r="K2" s="2">
        <f>IF(P2="Quitado",H2,MIN(H2,L2+1))</f>
        <v/>
      </c>
      <c r="L2" s="2">
        <f>IF(TODAY()&gt;=J2,MIN(H2,INT((DATEDIF(J2,TODAY(),"m")+1))),0)</f>
        <v/>
      </c>
      <c r="M2" s="2">
        <f>MAX(H2-L2,0)</f>
        <v/>
      </c>
      <c r="N2" s="7">
        <f>L2*I2</f>
        <v/>
      </c>
      <c r="O2" s="7">
        <f>G2-N2</f>
        <v/>
      </c>
      <c r="P2" s="2">
        <f>IF(O2&lt;=0,"Quitado",IF(TODAY()&lt;J2,"A iniciar",IF(L2=H2,"Quitado","Em andamento")))</f>
        <v/>
      </c>
      <c r="Q2" s="4" t="inlineStr">
        <is>
          <t>Compra de João Silva</t>
        </is>
      </c>
    </row>
    <row r="3">
      <c r="A3" s="9" t="n">
        <v>2</v>
      </c>
      <c r="B3" s="10" t="inlineStr">
        <is>
          <t>10/01/2026</t>
        </is>
      </c>
      <c r="C3" s="11" t="inlineStr">
        <is>
          <t>Geladeira Frost Free</t>
        </is>
      </c>
      <c r="D3" s="11" t="inlineStr">
        <is>
          <t>Eletrodomésticos</t>
        </is>
      </c>
      <c r="E3" s="11" t="inlineStr">
        <is>
          <t>Magazine Casa</t>
        </is>
      </c>
      <c r="F3" s="11" t="inlineStr">
        <is>
          <t>Rio de Janeiro</t>
        </is>
      </c>
      <c r="G3" s="5" t="n">
        <v>4800</v>
      </c>
      <c r="H3" s="6" t="n">
        <v>12</v>
      </c>
      <c r="I3" s="12">
        <f>IFERROR(G3/H3,0)</f>
        <v/>
      </c>
      <c r="J3" s="8" t="inlineStr">
        <is>
          <t>10/02/2026</t>
        </is>
      </c>
      <c r="K3" s="9">
        <f>IF(P3="Quitado",H3,MIN(H3,L3+1))</f>
        <v/>
      </c>
      <c r="L3" s="9">
        <f>IF(TODAY()&gt;=J3,MIN(H3,INT((DATEDIF(J3,TODAY(),"m")+1))),0)</f>
        <v/>
      </c>
      <c r="M3" s="9">
        <f>MAX(H3-L3,0)</f>
        <v/>
      </c>
      <c r="N3" s="12">
        <f>L3*I3</f>
        <v/>
      </c>
      <c r="O3" s="12">
        <f>G3-N3</f>
        <v/>
      </c>
      <c r="P3" s="9">
        <f>IF(O3&lt;=0,"Quitado",IF(TODAY()&lt;J3,"A iniciar",IF(L3=H3,"Quitado","Em andamento")))</f>
        <v/>
      </c>
      <c r="Q3" s="11" t="inlineStr">
        <is>
          <t>Compra de Maria Oliveira</t>
        </is>
      </c>
    </row>
    <row r="4">
      <c r="A4" s="2" t="n">
        <v>3</v>
      </c>
      <c r="B4" s="3" t="inlineStr">
        <is>
          <t>15/02/2026</t>
        </is>
      </c>
      <c r="C4" s="4" t="inlineStr">
        <is>
          <t>Notebook Dell Inspiron</t>
        </is>
      </c>
      <c r="D4" s="4" t="inlineStr">
        <is>
          <t>Informática</t>
        </is>
      </c>
      <c r="E4" s="4" t="inlineStr">
        <is>
          <t>Tech Store</t>
        </is>
      </c>
      <c r="F4" s="4" t="inlineStr">
        <is>
          <t>Belo Horizonte</t>
        </is>
      </c>
      <c r="G4" s="5" t="n">
        <v>4000</v>
      </c>
      <c r="H4" s="6" t="n">
        <v>8</v>
      </c>
      <c r="I4" s="7">
        <f>IFERROR(G4/H4,0)</f>
        <v/>
      </c>
      <c r="J4" s="8" t="inlineStr">
        <is>
          <t>15/03/2026</t>
        </is>
      </c>
      <c r="K4" s="2">
        <f>IF(P4="Quitado",H4,MIN(H4,L4+1))</f>
        <v/>
      </c>
      <c r="L4" s="2">
        <f>IF(TODAY()&gt;=J4,MIN(H4,INT((DATEDIF(J4,TODAY(),"m")+1))),0)</f>
        <v/>
      </c>
      <c r="M4" s="2">
        <f>MAX(H4-L4,0)</f>
        <v/>
      </c>
      <c r="N4" s="7">
        <f>L4*I4</f>
        <v/>
      </c>
      <c r="O4" s="7">
        <f>G4-N4</f>
        <v/>
      </c>
      <c r="P4" s="2">
        <f>IF(O4&lt;=0,"Quitado",IF(TODAY()&lt;J4,"A iniciar",IF(L4=H4,"Quitado","Em andamento")))</f>
        <v/>
      </c>
      <c r="Q4" s="4" t="inlineStr">
        <is>
          <t>Compra de Pedro Santos</t>
        </is>
      </c>
    </row>
    <row r="5">
      <c r="A5" s="9" t="n">
        <v>4</v>
      </c>
      <c r="B5" s="10" t="inlineStr">
        <is>
          <t>20/01/2026</t>
        </is>
      </c>
      <c r="C5" s="11" t="inlineStr">
        <is>
          <t>Passagem aérea Europa</t>
        </is>
      </c>
      <c r="D5" s="11" t="inlineStr">
        <is>
          <t>Viagem</t>
        </is>
      </c>
      <c r="E5" s="11" t="inlineStr">
        <is>
          <t>Agência Viaja Bem</t>
        </is>
      </c>
      <c r="F5" s="11" t="inlineStr">
        <is>
          <t>Curitiba</t>
        </is>
      </c>
      <c r="G5" s="5" t="n">
        <v>6000</v>
      </c>
      <c r="H5" s="6" t="n">
        <v>6</v>
      </c>
      <c r="I5" s="12">
        <f>IFERROR(G5/H5,0)</f>
        <v/>
      </c>
      <c r="J5" s="8" t="inlineStr">
        <is>
          <t>20/02/2026</t>
        </is>
      </c>
      <c r="K5" s="9">
        <f>IF(P5="Quitado",H5,MIN(H5,L5+1))</f>
        <v/>
      </c>
      <c r="L5" s="9">
        <f>IF(TODAY()&gt;=J5,MIN(H5,INT((DATEDIF(J5,TODAY(),"m")+1))),0)</f>
        <v/>
      </c>
      <c r="M5" s="9">
        <f>MAX(H5-L5,0)</f>
        <v/>
      </c>
      <c r="N5" s="12">
        <f>L5*I5</f>
        <v/>
      </c>
      <c r="O5" s="12">
        <f>G5-N5</f>
        <v/>
      </c>
      <c r="P5" s="9">
        <f>IF(O5&lt;=0,"Quitado",IF(TODAY()&lt;J5,"A iniciar",IF(L5=H5,"Quitado","Em andamento")))</f>
        <v/>
      </c>
      <c r="Q5" s="11" t="inlineStr">
        <is>
          <t>Compra de Ana Souza</t>
        </is>
      </c>
    </row>
    <row r="6">
      <c r="A6" s="2" t="n">
        <v>5</v>
      </c>
      <c r="B6" s="3" t="inlineStr">
        <is>
          <t>01/03/2026</t>
        </is>
      </c>
      <c r="C6" s="4" t="inlineStr">
        <is>
          <t>TV 55 polegadas</t>
        </is>
      </c>
      <c r="D6" s="4" t="inlineStr">
        <is>
          <t>Eletrônicos</t>
        </is>
      </c>
      <c r="E6" s="4" t="inlineStr">
        <is>
          <t>Eletro Mais</t>
        </is>
      </c>
      <c r="F6" s="4" t="inlineStr">
        <is>
          <t>Porto Alegre</t>
        </is>
      </c>
      <c r="G6" s="5" t="n">
        <v>3500</v>
      </c>
      <c r="H6" s="6" t="n">
        <v>10</v>
      </c>
      <c r="I6" s="7">
        <f>IFERROR(G6/H6,0)</f>
        <v/>
      </c>
      <c r="J6" s="8" t="inlineStr">
        <is>
          <t>01/04/2026</t>
        </is>
      </c>
      <c r="K6" s="2">
        <f>IF(P6="Quitado",H6,MIN(H6,L6+1))</f>
        <v/>
      </c>
      <c r="L6" s="2">
        <f>IF(TODAY()&gt;=J6,MIN(H6,INT((DATEDIF(J6,TODAY(),"m")+1))),0)</f>
        <v/>
      </c>
      <c r="M6" s="2">
        <f>MAX(H6-L6,0)</f>
        <v/>
      </c>
      <c r="N6" s="7">
        <f>L6*I6</f>
        <v/>
      </c>
      <c r="O6" s="7">
        <f>G6-N6</f>
        <v/>
      </c>
      <c r="P6" s="2">
        <f>IF(O6&lt;=0,"Quitado",IF(TODAY()&lt;J6,"A iniciar",IF(L6=H6,"Quitado","Em andamento")))</f>
        <v/>
      </c>
      <c r="Q6" s="4" t="inlineStr">
        <is>
          <t>Compra de Carlos Pereira</t>
        </is>
      </c>
    </row>
    <row r="7">
      <c r="A7" s="9" t="n">
        <v>6</v>
      </c>
      <c r="B7" s="10" t="inlineStr">
        <is>
          <t>10/02/2026</t>
        </is>
      </c>
      <c r="C7" s="11" t="inlineStr">
        <is>
          <t>Móveis planejados sala</t>
        </is>
      </c>
      <c r="D7" s="11" t="inlineStr">
        <is>
          <t>Móveis</t>
        </is>
      </c>
      <c r="E7" s="11" t="inlineStr">
        <is>
          <t>Marcenaria Bahia</t>
        </is>
      </c>
      <c r="F7" s="11" t="inlineStr">
        <is>
          <t>Salvador</t>
        </is>
      </c>
      <c r="G7" s="5" t="n">
        <v>9600</v>
      </c>
      <c r="H7" s="6" t="n">
        <v>12</v>
      </c>
      <c r="I7" s="12">
        <f>IFERROR(G7/H7,0)</f>
        <v/>
      </c>
      <c r="J7" s="8" t="inlineStr">
        <is>
          <t>10/03/2026</t>
        </is>
      </c>
      <c r="K7" s="9">
        <f>IF(P7="Quitado",H7,MIN(H7,L7+1))</f>
        <v/>
      </c>
      <c r="L7" s="9">
        <f>IF(TODAY()&gt;=J7,MIN(H7,INT((DATEDIF(J7,TODAY(),"m")+1))),0)</f>
        <v/>
      </c>
      <c r="M7" s="9">
        <f>MAX(H7-L7,0)</f>
        <v/>
      </c>
      <c r="N7" s="12">
        <f>L7*I7</f>
        <v/>
      </c>
      <c r="O7" s="12">
        <f>G7-N7</f>
        <v/>
      </c>
      <c r="P7" s="9">
        <f>IF(O7&lt;=0,"Quitado",IF(TODAY()&lt;J7,"A iniciar",IF(L7=H7,"Quitado","Em andamento")))</f>
        <v/>
      </c>
      <c r="Q7" s="11" t="inlineStr">
        <is>
          <t>Compra de Juliana Costa</t>
        </is>
      </c>
    </row>
    <row r="8">
      <c r="A8" s="2" t="n">
        <v>7</v>
      </c>
      <c r="B8" s="3" t="inlineStr">
        <is>
          <t>05/04/2026</t>
        </is>
      </c>
      <c r="C8" s="4" t="inlineStr">
        <is>
          <t>Curso online de inglês</t>
        </is>
      </c>
      <c r="D8" s="4" t="inlineStr">
        <is>
          <t>Educação</t>
        </is>
      </c>
      <c r="E8" s="4" t="inlineStr">
        <is>
          <t>EduOnline</t>
        </is>
      </c>
      <c r="F8" s="4" t="inlineStr">
        <is>
          <t>Recife</t>
        </is>
      </c>
      <c r="G8" s="5" t="n">
        <v>2000</v>
      </c>
      <c r="H8" s="6" t="n">
        <v>5</v>
      </c>
      <c r="I8" s="7">
        <f>IFERROR(G8/H8,0)</f>
        <v/>
      </c>
      <c r="J8" s="8" t="inlineStr">
        <is>
          <t>05/05/2026</t>
        </is>
      </c>
      <c r="K8" s="2">
        <f>IF(P8="Quitado",H8,MIN(H8,L8+1))</f>
        <v/>
      </c>
      <c r="L8" s="2">
        <f>IF(TODAY()&gt;=J8,MIN(H8,INT((DATEDIF(J8,TODAY(),"m")+1))),0)</f>
        <v/>
      </c>
      <c r="M8" s="2">
        <f>MAX(H8-L8,0)</f>
        <v/>
      </c>
      <c r="N8" s="7">
        <f>L8*I8</f>
        <v/>
      </c>
      <c r="O8" s="7">
        <f>G8-N8</f>
        <v/>
      </c>
      <c r="P8" s="2">
        <f>IF(O8&lt;=0,"Quitado",IF(TODAY()&lt;J8,"A iniciar",IF(L8=H8,"Quitado","Em andamento")))</f>
        <v/>
      </c>
      <c r="Q8" s="4" t="inlineStr">
        <is>
          <t>Compra de Rafael Almeida</t>
        </is>
      </c>
    </row>
    <row r="9">
      <c r="A9" s="9" t="n">
        <v>8</v>
      </c>
      <c r="B9" s="10" t="inlineStr">
        <is>
          <t>12/03/2026</t>
        </is>
      </c>
      <c r="C9" s="11" t="inlineStr">
        <is>
          <t>Acessórios moto elétrica</t>
        </is>
      </c>
      <c r="D9" s="11" t="inlineStr">
        <is>
          <t>Transporte</t>
        </is>
      </c>
      <c r="E9" s="11" t="inlineStr">
        <is>
          <t>Moto Center</t>
        </is>
      </c>
      <c r="F9" s="11" t="inlineStr">
        <is>
          <t>Fortaleza</t>
        </is>
      </c>
      <c r="G9" s="5" t="n">
        <v>2400</v>
      </c>
      <c r="H9" s="6" t="n">
        <v>12</v>
      </c>
      <c r="I9" s="12">
        <f>IFERROR(G9/H9,0)</f>
        <v/>
      </c>
      <c r="J9" s="8" t="inlineStr">
        <is>
          <t>12/04/2026</t>
        </is>
      </c>
      <c r="K9" s="9">
        <f>IF(P9="Quitado",H9,MIN(H9,L9+1))</f>
        <v/>
      </c>
      <c r="L9" s="9">
        <f>IF(TODAY()&gt;=J9,MIN(H9,INT((DATEDIF(J9,TODAY(),"m")+1))),0)</f>
        <v/>
      </c>
      <c r="M9" s="9">
        <f>MAX(H9-L9,0)</f>
        <v/>
      </c>
      <c r="N9" s="12">
        <f>L9*I9</f>
        <v/>
      </c>
      <c r="O9" s="12">
        <f>G9-N9</f>
        <v/>
      </c>
      <c r="P9" s="9">
        <f>IF(O9&lt;=0,"Quitado",IF(TODAY()&lt;J9,"A iniciar",IF(L9=H9,"Quitado","Em andamento")))</f>
        <v/>
      </c>
      <c r="Q9" s="11" t="inlineStr">
        <is>
          <t>Compra de Camila Ferreira</t>
        </is>
      </c>
    </row>
    <row r="10">
      <c r="A10" s="2" t="n">
        <v>9</v>
      </c>
      <c r="B10" s="3" t="inlineStr">
        <is>
          <t>20/05/2026</t>
        </is>
      </c>
      <c r="C10" s="4" t="inlineStr">
        <is>
          <t>Óculos de grau</t>
        </is>
      </c>
      <c r="D10" s="4" t="inlineStr">
        <is>
          <t>Saúde</t>
        </is>
      </c>
      <c r="E10" s="4" t="inlineStr">
        <is>
          <t>Ótica Visão</t>
        </is>
      </c>
      <c r="F10" s="4" t="inlineStr">
        <is>
          <t>Brasília</t>
        </is>
      </c>
      <c r="G10" s="5" t="n">
        <v>800</v>
      </c>
      <c r="H10" s="6" t="n">
        <v>4</v>
      </c>
      <c r="I10" s="7">
        <f>IFERROR(G10/H10,0)</f>
        <v/>
      </c>
      <c r="J10" s="8" t="inlineStr">
        <is>
          <t>20/06/2026</t>
        </is>
      </c>
      <c r="K10" s="2">
        <f>IF(P10="Quitado",H10,MIN(H10,L10+1))</f>
        <v/>
      </c>
      <c r="L10" s="2">
        <f>IF(TODAY()&gt;=J10,MIN(H10,INT((DATEDIF(J10,TODAY(),"m")+1))),0)</f>
        <v/>
      </c>
      <c r="M10" s="2">
        <f>MAX(H10-L10,0)</f>
        <v/>
      </c>
      <c r="N10" s="7">
        <f>L10*I10</f>
        <v/>
      </c>
      <c r="O10" s="7">
        <f>G10-N10</f>
        <v/>
      </c>
      <c r="P10" s="2">
        <f>IF(O10&lt;=0,"Quitado",IF(TODAY()&lt;J10,"A iniciar",IF(L10=H10,"Quitado","Em andamento")))</f>
        <v/>
      </c>
      <c r="Q10" s="4" t="inlineStr">
        <is>
          <t>Compra de Lucas Rodrigues</t>
        </is>
      </c>
    </row>
  </sheetData>
  <conditionalFormatting sqref="P2:P10">
    <cfRule type="expression" priority="1" dxfId="0" stopIfTrue="1">
      <formula>P2="Quitado"</formula>
    </cfRule>
    <cfRule type="expression" priority="2" dxfId="1" stopIfTrue="1">
      <formula>P2="A iniciar"</formula>
    </cfRule>
    <cfRule type="expression" priority="3" dxfId="2" stopIfTrue="1">
      <formula>P2="Em andamento"</formula>
    </cfRule>
  </conditionalFormatting>
  <conditionalFormatting sqref="O2:O10">
    <cfRule type="expression" priority="4" dxfId="0" stopIfTrue="1">
      <formula>O2&lt;=0</formula>
    </cfRule>
    <cfRule type="cellIs" priority="5" operator="greaterThan" dxfId="3">
      <formula>0</formula>
    </cfRule>
  </conditionalFormatting>
  <dataValidations count="1">
    <dataValidation sqref="D2:D30" showErrorMessage="1" showInputMessage="1" allowBlank="1" type="list">
      <formula1>"Eletrônicos,Eletrodomésticos,Informática,Viagem,Móveis,Educação,Transporte,Saúde"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41"/>
  <sheetViews>
    <sheetView workbookViewId="0">
      <selection activeCell="A1" sqref="A1"/>
    </sheetView>
  </sheetViews>
  <sheetFormatPr baseColWidth="8" defaultRowHeight="15"/>
  <cols>
    <col width="32" customWidth="1" min="1" max="1"/>
    <col width="20" customWidth="1" min="2" max="2"/>
  </cols>
  <sheetData>
    <row r="1" ht="30" customHeight="1">
      <c r="A1" s="13" t="inlineStr">
        <is>
          <t>DASHBOARD — CONTROLE DE PARCELAMENTOS</t>
        </is>
      </c>
    </row>
    <row r="2"/>
    <row r="3">
      <c r="A3" s="14" t="inlineStr">
        <is>
          <t>INDICADORES GERAIS</t>
        </is>
      </c>
    </row>
    <row r="4">
      <c r="A4" s="15" t="inlineStr">
        <is>
          <t>Total de compras parceladas</t>
        </is>
      </c>
      <c r="B4" s="16">
        <f>COUNTIF(Parcelamentos!P:P,"&lt;&gt;")</f>
        <v/>
      </c>
    </row>
    <row r="5">
      <c r="A5" s="17" t="inlineStr">
        <is>
          <t>Total em aberto (em andamento)</t>
        </is>
      </c>
      <c r="B5" s="18">
        <f>COUNTIF(Parcelamentos!P:P,"Em andamento")</f>
        <v/>
      </c>
    </row>
    <row r="6">
      <c r="A6" s="15" t="inlineStr">
        <is>
          <t>Valor total parcelado</t>
        </is>
      </c>
      <c r="B6" s="19">
        <f>SUM(Parcelamentos!G:G)</f>
        <v/>
      </c>
    </row>
    <row r="7">
      <c r="A7" s="17" t="inlineStr">
        <is>
          <t>Saldo total a pagar</t>
        </is>
      </c>
      <c r="B7" s="20">
        <f>SUM(Parcelamentos!O:O)</f>
        <v/>
      </c>
    </row>
    <row r="8">
      <c r="A8" s="15" t="inlineStr">
        <is>
          <t>Ticket médio por parcelamento</t>
        </is>
      </c>
      <c r="B8" s="19">
        <f>AVERAGE(Parcelamentos!G:G)</f>
        <v/>
      </c>
    </row>
    <row r="9">
      <c r="A9" s="17" t="inlineStr">
        <is>
          <t>Percentual quitado</t>
        </is>
      </c>
      <c r="B9" s="21">
        <f>IFERROR(COUNTIF(Parcelamentos!P:P,"Quitado")/COUNTA(Parcelamentos!A:A),0)</f>
        <v/>
      </c>
    </row>
    <row r="10"/>
    <row r="11">
      <c r="A11" s="14" t="inlineStr">
        <is>
          <t>VALOR TOTAL POR CATEGORIA</t>
        </is>
      </c>
    </row>
    <row r="12">
      <c r="A12" s="22" t="inlineStr">
        <is>
          <t>Categoria</t>
        </is>
      </c>
      <c r="B12" s="22" t="inlineStr">
        <is>
          <t>Valor total</t>
        </is>
      </c>
    </row>
    <row r="13">
      <c r="A13" s="23" t="inlineStr">
        <is>
          <t>Eletrônicos</t>
        </is>
      </c>
      <c r="B13" s="24">
        <f>SUMIF(Parcelamentos!$D$2:$D$10,A13,Parcelamentos!$G$2:$G$10)</f>
        <v/>
      </c>
    </row>
    <row r="14">
      <c r="A14" s="25" t="inlineStr">
        <is>
          <t>Eletrodomésticos</t>
        </is>
      </c>
      <c r="B14" s="26">
        <f>SUMIF(Parcelamentos!$D$2:$D$10,A14,Parcelamentos!$G$2:$G$10)</f>
        <v/>
      </c>
    </row>
    <row r="15">
      <c r="A15" s="23" t="inlineStr">
        <is>
          <t>Informática</t>
        </is>
      </c>
      <c r="B15" s="24">
        <f>SUMIF(Parcelamentos!$D$2:$D$10,A15,Parcelamentos!$G$2:$G$10)</f>
        <v/>
      </c>
    </row>
    <row r="16">
      <c r="A16" s="25" t="inlineStr">
        <is>
          <t>Viagem</t>
        </is>
      </c>
      <c r="B16" s="26">
        <f>SUMIF(Parcelamentos!$D$2:$D$10,A16,Parcelamentos!$G$2:$G$10)</f>
        <v/>
      </c>
    </row>
    <row r="17">
      <c r="A17" s="23" t="inlineStr">
        <is>
          <t>Móveis</t>
        </is>
      </c>
      <c r="B17" s="24">
        <f>SUMIF(Parcelamentos!$D$2:$D$10,A17,Parcelamentos!$G$2:$G$10)</f>
        <v/>
      </c>
    </row>
    <row r="18">
      <c r="A18" s="25" t="inlineStr">
        <is>
          <t>Educação</t>
        </is>
      </c>
      <c r="B18" s="26">
        <f>SUMIF(Parcelamentos!$D$2:$D$10,A18,Parcelamentos!$G$2:$G$10)</f>
        <v/>
      </c>
    </row>
    <row r="19">
      <c r="A19" s="23" t="inlineStr">
        <is>
          <t>Transporte</t>
        </is>
      </c>
      <c r="B19" s="24">
        <f>SUMIF(Parcelamentos!$D$2:$D$10,A19,Parcelamentos!$G$2:$G$10)</f>
        <v/>
      </c>
    </row>
    <row r="20">
      <c r="A20" s="25" t="inlineStr">
        <is>
          <t>Saúde</t>
        </is>
      </c>
      <c r="B20" s="26">
        <f>SUMIF(Parcelamentos!$D$2:$D$10,A20,Parcelamentos!$G$2:$G$10)</f>
        <v/>
      </c>
    </row>
    <row r="21"/>
    <row r="22">
      <c r="A22" s="14" t="inlineStr">
        <is>
          <t>DISTRIBUIÇÃO POR STATUS</t>
        </is>
      </c>
    </row>
    <row r="23">
      <c r="A23" s="22" t="inlineStr">
        <is>
          <t>Status</t>
        </is>
      </c>
      <c r="B23" s="22" t="inlineStr">
        <is>
          <t>Quantidade</t>
        </is>
      </c>
    </row>
    <row r="24">
      <c r="A24" s="23" t="inlineStr">
        <is>
          <t>A iniciar</t>
        </is>
      </c>
      <c r="B24" s="23">
        <f>COUNTIF(Parcelamentos!$P$2:$P$10,A24)</f>
        <v/>
      </c>
    </row>
    <row r="25">
      <c r="A25" s="25" t="inlineStr">
        <is>
          <t>Em andamento</t>
        </is>
      </c>
      <c r="B25" s="25">
        <f>COUNTIF(Parcelamentos!$P$2:$P$10,A25)</f>
        <v/>
      </c>
    </row>
    <row r="26">
      <c r="A26" s="23" t="inlineStr">
        <is>
          <t>Quitado</t>
        </is>
      </c>
      <c r="B26" s="23">
        <f>COUNTIF(Parcelamentos!$P$2:$P$10,A26)</f>
        <v/>
      </c>
    </row>
    <row r="27"/>
    <row r="28">
      <c r="A28" s="14" t="inlineStr">
        <is>
          <t>1ª PARCELA POR MÊS (2026)</t>
        </is>
      </c>
    </row>
    <row r="29">
      <c r="A29" s="22" t="inlineStr">
        <is>
          <t>Mês</t>
        </is>
      </c>
      <c r="B29" s="22" t="inlineStr">
        <is>
          <t>Qtd. de compras</t>
        </is>
      </c>
    </row>
    <row r="30">
      <c r="A30" s="23" t="inlineStr">
        <is>
          <t>Jan</t>
        </is>
      </c>
      <c r="B30" s="23">
        <f>SUMPRODUCT((MONTH(Parcelamentos!$J$2:$J$10)=1)*(YEAR(Parcelamentos!$J$2:$J$10)=2026))</f>
        <v/>
      </c>
    </row>
    <row r="31">
      <c r="A31" s="25" t="inlineStr">
        <is>
          <t>Fev</t>
        </is>
      </c>
      <c r="B31" s="25">
        <f>SUMPRODUCT((MONTH(Parcelamentos!$J$2:$J$10)=2)*(YEAR(Parcelamentos!$J$2:$J$10)=2026))</f>
        <v/>
      </c>
    </row>
    <row r="32">
      <c r="A32" s="23" t="inlineStr">
        <is>
          <t>Mar</t>
        </is>
      </c>
      <c r="B32" s="23">
        <f>SUMPRODUCT((MONTH(Parcelamentos!$J$2:$J$10)=3)*(YEAR(Parcelamentos!$J$2:$J$10)=2026))</f>
        <v/>
      </c>
    </row>
    <row r="33">
      <c r="A33" s="25" t="inlineStr">
        <is>
          <t>Abr</t>
        </is>
      </c>
      <c r="B33" s="25">
        <f>SUMPRODUCT((MONTH(Parcelamentos!$J$2:$J$10)=4)*(YEAR(Parcelamentos!$J$2:$J$10)=2026))</f>
        <v/>
      </c>
    </row>
    <row r="34">
      <c r="A34" s="23" t="inlineStr">
        <is>
          <t>Mai</t>
        </is>
      </c>
      <c r="B34" s="23">
        <f>SUMPRODUCT((MONTH(Parcelamentos!$J$2:$J$10)=5)*(YEAR(Parcelamentos!$J$2:$J$10)=2026))</f>
        <v/>
      </c>
    </row>
    <row r="35">
      <c r="A35" s="25" t="inlineStr">
        <is>
          <t>Jun</t>
        </is>
      </c>
      <c r="B35" s="25">
        <f>SUMPRODUCT((MONTH(Parcelamentos!$J$2:$J$10)=6)*(YEAR(Parcelamentos!$J$2:$J$10)=2026))</f>
        <v/>
      </c>
    </row>
    <row r="36">
      <c r="A36" s="23" t="inlineStr">
        <is>
          <t>Jul</t>
        </is>
      </c>
      <c r="B36" s="23">
        <f>SUMPRODUCT((MONTH(Parcelamentos!$J$2:$J$10)=7)*(YEAR(Parcelamentos!$J$2:$J$10)=2026))</f>
        <v/>
      </c>
    </row>
    <row r="37">
      <c r="A37" s="25" t="inlineStr">
        <is>
          <t>Ago</t>
        </is>
      </c>
      <c r="B37" s="25">
        <f>SUMPRODUCT((MONTH(Parcelamentos!$J$2:$J$10)=8)*(YEAR(Parcelamentos!$J$2:$J$10)=2026))</f>
        <v/>
      </c>
    </row>
    <row r="38">
      <c r="A38" s="23" t="inlineStr">
        <is>
          <t>Set</t>
        </is>
      </c>
      <c r="B38" s="23">
        <f>SUMPRODUCT((MONTH(Parcelamentos!$J$2:$J$10)=9)*(YEAR(Parcelamentos!$J$2:$J$10)=2026))</f>
        <v/>
      </c>
    </row>
    <row r="39">
      <c r="A39" s="25" t="inlineStr">
        <is>
          <t>Out</t>
        </is>
      </c>
      <c r="B39" s="25">
        <f>SUMPRODUCT((MONTH(Parcelamentos!$J$2:$J$10)=10)*(YEAR(Parcelamentos!$J$2:$J$10)=2026))</f>
        <v/>
      </c>
    </row>
    <row r="40">
      <c r="A40" s="23" t="inlineStr">
        <is>
          <t>Nov</t>
        </is>
      </c>
      <c r="B40" s="23">
        <f>SUMPRODUCT((MONTH(Parcelamentos!$J$2:$J$10)=11)*(YEAR(Parcelamentos!$J$2:$J$10)=2026))</f>
        <v/>
      </c>
    </row>
    <row r="41">
      <c r="A41" s="25" t="inlineStr">
        <is>
          <t>Dez</t>
        </is>
      </c>
      <c r="B41" s="25">
        <f>SUMPRODUCT((MONTH(Parcelamentos!$J$2:$J$10)=12)*(YEAR(Parcelamentos!$J$2:$J$10)=2026))</f>
        <v/>
      </c>
    </row>
  </sheetData>
  <mergeCells count="5">
    <mergeCell ref="A1:F1"/>
    <mergeCell ref="A3:B3"/>
    <mergeCell ref="A11:B11"/>
    <mergeCell ref="A22:B22"/>
    <mergeCell ref="A28:B28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26" customWidth="1" min="1" max="1"/>
    <col width="30" customWidth="1" min="2" max="2"/>
    <col width="30" customWidth="1" min="3" max="3"/>
    <col width="30" customWidth="1" min="4" max="4"/>
  </cols>
  <sheetData>
    <row r="1" ht="30" customHeight="1">
      <c r="A1" s="13" t="inlineStr">
        <is>
          <t>INSTRUÇÕES DE USO — CONTROLE DE PARCELAMENTOS</t>
        </is>
      </c>
    </row>
    <row r="2"/>
    <row r="3" ht="34" customHeight="1">
      <c r="A3" s="27" t="inlineStr">
        <is>
          <t>1. Novo parcelamento</t>
        </is>
      </c>
      <c r="B3" s="28" t="inlineStr">
        <is>
          <t>Na aba 'Parcelamentos', insira uma nova linha com ID sequencial, data da compra, descrição, categoria, estabelecimento, cidade, valor total, quantidade de parcelas e a data da 1ª parcela. As demais colunas são calculadas automaticamente.</t>
        </is>
      </c>
      <c r="C3" s="29" t="n"/>
      <c r="D3" s="30" t="n"/>
    </row>
    <row r="4" ht="34" customHeight="1">
      <c r="A4" s="27" t="inlineStr">
        <is>
          <t>2. Campos editáveis</t>
        </is>
      </c>
      <c r="B4" s="28" t="inlineStr">
        <is>
          <t>As células com fundo amarelo claro (#FFFBEB) são de preenchimento manual: Valor total, Qtd. de parcelas e Data da 1ª parcela. As demais colunas possuem fórmulas e não devem ser sobrescritas.</t>
        </is>
      </c>
      <c r="C4" s="29" t="n"/>
      <c r="D4" s="30" t="n"/>
    </row>
    <row r="5" ht="34" customHeight="1">
      <c r="A5" s="27" t="inlineStr">
        <is>
          <t>3. Status 'A iniciar'</t>
        </is>
      </c>
      <c r="B5" s="28" t="inlineStr">
        <is>
          <t>Indica que a data da 1ª parcela ainda não chegou. Nenhuma parcela foi cobrada ainda.</t>
        </is>
      </c>
      <c r="C5" s="29" t="n"/>
      <c r="D5" s="30" t="n"/>
    </row>
    <row r="6" ht="34" customHeight="1">
      <c r="A6" s="27" t="inlineStr">
        <is>
          <t>4. Status 'Em andamento'</t>
        </is>
      </c>
      <c r="B6" s="28" t="inlineStr">
        <is>
          <t>Indica que o parcelamento já começou e ainda restam parcelas a pagar.</t>
        </is>
      </c>
      <c r="C6" s="29" t="n"/>
      <c r="D6" s="30" t="n"/>
    </row>
    <row r="7" ht="34" customHeight="1">
      <c r="A7" s="27" t="inlineStr">
        <is>
          <t>5. Status 'Quitado'</t>
        </is>
      </c>
      <c r="B7" s="28" t="inlineStr">
        <is>
          <t>Indica que todas as parcelas foram pagas ou que o saldo a pagar chegou a zero.</t>
        </is>
      </c>
      <c r="C7" s="29" t="n"/>
      <c r="D7" s="30" t="n"/>
    </row>
    <row r="8" ht="34" customHeight="1">
      <c r="A8" s="27" t="inlineStr">
        <is>
          <t>6. Cálculo automático</t>
        </is>
      </c>
      <c r="B8" s="28" t="inlineStr">
        <is>
          <t>As colunas 'Parcelas pagas', 'Parcelas restantes', 'Total pago', 'Saldo a pagar' e 'Status' são calculadas com base na data atual (TODAY()) e não devem ser editadas manualmente.</t>
        </is>
      </c>
      <c r="C8" s="29" t="n"/>
      <c r="D8" s="30" t="n"/>
    </row>
    <row r="9" ht="34" customHeight="1">
      <c r="A9" s="27" t="inlineStr">
        <is>
          <t>7. Formato de moeda</t>
        </is>
      </c>
      <c r="B9" s="28" t="inlineStr">
        <is>
          <t>Valores monetários seguem o padrão brasileiro: R$ 1.234,56 (ponto para milhar, vírgula para decimal).</t>
        </is>
      </c>
      <c r="C9" s="29" t="n"/>
      <c r="D9" s="30" t="n"/>
    </row>
    <row r="10" ht="34" customHeight="1">
      <c r="A10" s="27" t="inlineStr">
        <is>
          <t>8. Formato de data</t>
        </is>
      </c>
      <c r="B10" s="28" t="inlineStr">
        <is>
          <t>Todas as datas seguem o padrão dd/mm/aaaa, conforme o costume brasileiro.</t>
        </is>
      </c>
      <c r="C10" s="29" t="n"/>
      <c r="D10" s="30" t="n"/>
    </row>
    <row r="11" ht="34" customHeight="1">
      <c r="A11" s="27" t="inlineStr">
        <is>
          <t>9. Aba Resumo</t>
        </is>
      </c>
      <c r="B11" s="28" t="inlineStr">
        <is>
          <t>Apresenta indicadores gerais (totais, saldo, ticket médio, percentual quitado) e gráficos de categoria, status e evolução mensal das compras.</t>
        </is>
      </c>
      <c r="C11" s="29" t="n"/>
      <c r="D11" s="30" t="n"/>
    </row>
    <row r="12" ht="34" customHeight="1">
      <c r="A12" s="27" t="inlineStr">
        <is>
          <t>10. Cores de status</t>
        </is>
      </c>
      <c r="B12" s="28" t="inlineStr">
        <is>
          <t>Verde (#16A34A) = quitado. Vermelho (#DC2626) = em andamento. Amarelo (#FBBF24) = a iniciar.</t>
        </is>
      </c>
      <c r="C12" s="29" t="n"/>
      <c r="D12" s="30" t="n"/>
    </row>
  </sheetData>
  <mergeCells count="21">
    <mergeCell ref="A1:C1"/>
    <mergeCell ref="A3"/>
    <mergeCell ref="B3:D3"/>
    <mergeCell ref="A4"/>
    <mergeCell ref="B4:D4"/>
    <mergeCell ref="A5"/>
    <mergeCell ref="B5:D5"/>
    <mergeCell ref="A6"/>
    <mergeCell ref="B6:D6"/>
    <mergeCell ref="A7"/>
    <mergeCell ref="B7:D7"/>
    <mergeCell ref="A8"/>
    <mergeCell ref="B8:D8"/>
    <mergeCell ref="A9"/>
    <mergeCell ref="B9:D9"/>
    <mergeCell ref="A10"/>
    <mergeCell ref="B10:D10"/>
    <mergeCell ref="A11"/>
    <mergeCell ref="B11:D11"/>
    <mergeCell ref="A12"/>
    <mergeCell ref="B12:D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2026-07-14T02:22:34Z</dcterms:created>
  <dcterms:modified xmlns:dcterms="http://purl.org/dc/terms/" xmlns:xsi="http://www.w3.org/2001/XMLSchema-instance" xsi:type="dcterms:W3CDTF">2026-07-14T02:22:34Z</dcterms:modified>
</cp:coreProperties>
</file>