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teira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'Carteira'!$A$3:$Q$13</definedName>
    <definedName name="_xlnm._FilterDatabase" localSheetId="1" hidden="1">'Movimentações'!$A$3:$M$11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color rgb="001F2937"/>
      <sz val="11"/>
    </font>
    <font>
      <b val="1"/>
      <color rgb="00FFFFFF"/>
      <sz val="11"/>
    </font>
    <font>
      <b val="1"/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4" fillId="2" borderId="1" pivotButton="0" quotePrefix="0" xfId="0"/>
    <xf numFmtId="165" fontId="4" fillId="2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" fontId="5" fillId="3" borderId="1" applyAlignment="1" pivotButton="0" quotePrefix="0" xfId="0">
      <alignment horizontal="right" vertical="center"/>
    </xf>
    <xf numFmtId="1" fontId="5" fillId="5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0" fontId="2" fillId="6" borderId="0" pivotButton="0" quotePrefix="0" xfId="0"/>
    <xf numFmtId="0" fontId="0" fillId="6" borderId="0" pivotButton="0" quotePrefix="0" xfId="0"/>
    <xf numFmtId="0" fontId="3" fillId="3" borderId="1" pivotButton="0" quotePrefix="0" xfId="0"/>
    <xf numFmtId="165" fontId="3" fillId="3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2" fillId="6" borderId="1" applyAlignment="1" pivotButton="0" quotePrefix="0" xfId="0">
      <alignment horizontal="left" vertical="center" wrapText="1"/>
    </xf>
    <xf numFmtId="0" fontId="0" fillId="6" borderId="4" pivotButton="0" quotePrefix="0" xfId="0"/>
    <xf numFmtId="0" fontId="0" fillId="6" borderId="5" pivotButton="0" quotePrefix="0" xfId="0"/>
    <xf numFmtId="0" fontId="3" fillId="0" borderId="1" applyAlignment="1" pivotButton="0" quotePrefix="0" xfId="0">
      <alignment horizontal="left" vertical="top" wrapText="1"/>
    </xf>
    <xf numFmtId="0" fontId="0" fillId="0" borderId="1" pivotButton="0" quotePrefix="0" xfId="0"/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5" fontId="4" fillId="2" borderId="1" pivotButton="0" quotePrefix="0" xfId="0"/>
    <xf numFmtId="165" fontId="5" fillId="3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165" fontId="3" fillId="3" borderId="1" pivotButton="0" quotePrefix="0" xfId="0"/>
    <xf numFmtId="165" fontId="3" fillId="5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Segmento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'Dashboard'!$A$14:$A$19</f>
            </numRef>
          </cat>
          <val>
            <numRef>
              <f>'Dashboard'!$B$14:$B$19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Atual por Ticker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'Dashboard'!B23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'Dashboard'!$A$24:$A$33</f>
            </numRef>
          </cat>
          <val>
            <numRef>
              <f>'Dashboard'!$B$24:$B$33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Ticker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Mensal dos Aportes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'Dashboard'!B37</f>
            </strRef>
          </tx>
          <spPr>
            <a:ln xmlns:a="http://schemas.openxmlformats.org/drawingml/2006/main" w="25000">
              <a:solidFill>
                <a:srgbClr val="10B98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'Dashboard'!$A$38:$A$44</f>
            </numRef>
          </cat>
          <val>
            <numRef>
              <f>'Dashboard'!$B$38:$B$44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Aportes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40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20" customWidth="1" min="3" max="3"/>
    <col width="22" customWidth="1" min="4" max="4"/>
    <col width="15" customWidth="1" min="5" max="5"/>
    <col width="11" customWidth="1" min="6" max="6"/>
    <col width="16" customWidth="1" min="7" max="7"/>
    <col width="17" customWidth="1" min="8" max="8"/>
    <col width="18" customWidth="1" min="9" max="9"/>
    <col width="17" customWidth="1" min="10" max="10"/>
    <col width="20" customWidth="1" min="11" max="11"/>
    <col width="21" customWidth="1" min="12" max="12"/>
    <col width="20" customWidth="1" min="13" max="13"/>
    <col width="20" customWidth="1" min="14" max="14"/>
    <col width="24" customWidth="1" min="15" max="15"/>
    <col width="11" customWidth="1" min="16" max="16"/>
    <col width="32" customWidth="1" min="17" max="17"/>
  </cols>
  <sheetData>
    <row r="1">
      <c r="A1" s="1" t="inlineStr">
        <is>
          <t>Carteira de Fundos Imobiliários — Acompanhamento 2026</t>
        </is>
      </c>
    </row>
    <row r="2"/>
    <row r="3">
      <c r="A3" s="2" t="inlineStr">
        <is>
          <t>Ticker</t>
        </is>
      </c>
      <c r="B3" s="2" t="inlineStr">
        <is>
          <t>Fundo</t>
        </is>
      </c>
      <c r="C3" s="2" t="inlineStr">
        <is>
          <t>Segmento</t>
        </is>
      </c>
      <c r="D3" s="2" t="inlineStr">
        <is>
          <t>Gestora</t>
        </is>
      </c>
      <c r="E3" s="2" t="inlineStr">
        <is>
          <t>Data da compra</t>
        </is>
      </c>
      <c r="F3" s="2" t="inlineStr">
        <is>
          <t>Quantidade</t>
        </is>
      </c>
      <c r="G3" s="2" t="inlineStr">
        <is>
          <t>Preço médio (R$)</t>
        </is>
      </c>
      <c r="H3" s="2" t="inlineStr">
        <is>
          <t>Cotação atual (R$)</t>
        </is>
      </c>
      <c r="I3" s="2" t="inlineStr">
        <is>
          <t>Valor investido (R$)</t>
        </is>
      </c>
      <c r="J3" s="2" t="inlineStr">
        <is>
          <t>Valor atual (R$)</t>
        </is>
      </c>
      <c r="K3" s="2" t="inlineStr">
        <is>
          <t>Dividendos por cota (R$)</t>
        </is>
      </c>
      <c r="L3" s="2" t="inlineStr">
        <is>
          <t>Dividendos recebidos (R$)</t>
        </is>
      </c>
      <c r="M3" s="2" t="inlineStr">
        <is>
          <t>Dividend yield mensal (%)</t>
        </is>
      </c>
      <c r="N3" s="2" t="inlineStr">
        <is>
          <t>Rentabilidade total (%)</t>
        </is>
      </c>
      <c r="O3" s="2" t="inlineStr">
        <is>
          <t>Participação na carteira (%)</t>
        </is>
      </c>
      <c r="P3" s="2" t="inlineStr">
        <is>
          <t>Status</t>
        </is>
      </c>
      <c r="Q3" s="2" t="inlineStr">
        <is>
          <t>Observações</t>
        </is>
      </c>
    </row>
    <row r="4">
      <c r="A4" s="3" t="inlineStr">
        <is>
          <t>HGLG11</t>
        </is>
      </c>
      <c r="B4" s="3" t="inlineStr">
        <is>
          <t>CSHG Logística FII</t>
        </is>
      </c>
      <c r="C4" s="3" t="inlineStr">
        <is>
          <t>Logística</t>
        </is>
      </c>
      <c r="D4" s="3" t="inlineStr">
        <is>
          <t>CSHG Gestão</t>
        </is>
      </c>
      <c r="E4" s="37" t="n">
        <v>46027</v>
      </c>
      <c r="F4" s="5" t="n">
        <v>40</v>
      </c>
      <c r="G4" s="38" t="n">
        <v>162</v>
      </c>
      <c r="H4" s="38" t="n">
        <v>175.5</v>
      </c>
      <c r="I4" s="39">
        <f>F4*G4</f>
        <v/>
      </c>
      <c r="J4" s="39">
        <f>F4*H4</f>
        <v/>
      </c>
      <c r="K4" s="38" t="n">
        <v>1.15</v>
      </c>
      <c r="L4" s="39">
        <f>F4*K4</f>
        <v/>
      </c>
      <c r="M4" s="40">
        <f>IFERROR(K4/H4,0)</f>
        <v/>
      </c>
      <c r="N4" s="40">
        <f>IFERROR((J4+L4-I4)/I4,0)</f>
        <v/>
      </c>
      <c r="O4" s="40">
        <f>IFERROR(J4/SUM($J$4:$J$13),0)</f>
        <v/>
      </c>
      <c r="P4" s="9">
        <f>IF(N4&gt;=0,"Positivo","Atenção")</f>
        <v/>
      </c>
    </row>
    <row r="5">
      <c r="A5" s="10" t="inlineStr">
        <is>
          <t>KNRI11</t>
        </is>
      </c>
      <c r="B5" s="10" t="inlineStr">
        <is>
          <t>Kinea Rendas Imobiliárias FII</t>
        </is>
      </c>
      <c r="C5" s="10" t="inlineStr">
        <is>
          <t>Híbrido</t>
        </is>
      </c>
      <c r="D5" s="10" t="inlineStr">
        <is>
          <t>Kinea Investimentos</t>
        </is>
      </c>
      <c r="E5" s="37" t="n">
        <v>46042</v>
      </c>
      <c r="F5" s="5" t="n">
        <v>25</v>
      </c>
      <c r="G5" s="38" t="n">
        <v>143.8</v>
      </c>
      <c r="H5" s="38" t="n">
        <v>150.2</v>
      </c>
      <c r="I5" s="41">
        <f>F5*G5</f>
        <v/>
      </c>
      <c r="J5" s="41">
        <f>F5*H5</f>
        <v/>
      </c>
      <c r="K5" s="38" t="n">
        <v>1</v>
      </c>
      <c r="L5" s="41">
        <f>F5*K5</f>
        <v/>
      </c>
      <c r="M5" s="42">
        <f>IFERROR(K5/H5,0)</f>
        <v/>
      </c>
      <c r="N5" s="42">
        <f>IFERROR((J5+L5-I5)/I5,0)</f>
        <v/>
      </c>
      <c r="O5" s="42">
        <f>IFERROR(J5/SUM($J$4:$J$13),0)</f>
        <v/>
      </c>
      <c r="P5" s="13">
        <f>IF(N5&gt;=0,"Positivo","Atenção")</f>
        <v/>
      </c>
    </row>
    <row r="6">
      <c r="A6" s="3" t="inlineStr">
        <is>
          <t>MXRF11</t>
        </is>
      </c>
      <c r="B6" s="3" t="inlineStr">
        <is>
          <t>Maxi Renda FII</t>
        </is>
      </c>
      <c r="C6" s="3" t="inlineStr">
        <is>
          <t>Recebíveis</t>
        </is>
      </c>
      <c r="D6" s="3" t="inlineStr">
        <is>
          <t>XP Asset</t>
        </is>
      </c>
      <c r="E6" s="37" t="n">
        <v>46063</v>
      </c>
      <c r="F6" s="5" t="n">
        <v>80</v>
      </c>
      <c r="G6" s="38" t="n">
        <v>10.1</v>
      </c>
      <c r="H6" s="38" t="n">
        <v>10.45</v>
      </c>
      <c r="I6" s="39">
        <f>F6*G6</f>
        <v/>
      </c>
      <c r="J6" s="39">
        <f>F6*H6</f>
        <v/>
      </c>
      <c r="K6" s="38" t="n">
        <v>0.1</v>
      </c>
      <c r="L6" s="39">
        <f>F6*K6</f>
        <v/>
      </c>
      <c r="M6" s="40">
        <f>IFERROR(K6/H6,0)</f>
        <v/>
      </c>
      <c r="N6" s="40">
        <f>IFERROR((J6+L6-I6)/I6,0)</f>
        <v/>
      </c>
      <c r="O6" s="40">
        <f>IFERROR(J6/SUM($J$4:$J$13),0)</f>
        <v/>
      </c>
      <c r="P6" s="9">
        <f>IF(N6&gt;=0,"Positivo","Atenção")</f>
        <v/>
      </c>
    </row>
    <row r="7">
      <c r="A7" s="10" t="inlineStr">
        <is>
          <t>XPLG11</t>
        </is>
      </c>
      <c r="B7" s="10" t="inlineStr">
        <is>
          <t>XP Log FII</t>
        </is>
      </c>
      <c r="C7" s="10" t="inlineStr">
        <is>
          <t>Logística</t>
        </is>
      </c>
      <c r="D7" s="10" t="inlineStr">
        <is>
          <t>XP Asset</t>
        </is>
      </c>
      <c r="E7" s="37" t="n">
        <v>46083</v>
      </c>
      <c r="F7" s="5" t="n">
        <v>30</v>
      </c>
      <c r="G7" s="38" t="n">
        <v>101.5</v>
      </c>
      <c r="H7" s="38" t="n">
        <v>106.9</v>
      </c>
      <c r="I7" s="41">
        <f>F7*G7</f>
        <v/>
      </c>
      <c r="J7" s="41">
        <f>F7*H7</f>
        <v/>
      </c>
      <c r="K7" s="38" t="n">
        <v>0.82</v>
      </c>
      <c r="L7" s="41">
        <f>F7*K7</f>
        <v/>
      </c>
      <c r="M7" s="42">
        <f>IFERROR(K7/H7,0)</f>
        <v/>
      </c>
      <c r="N7" s="42">
        <f>IFERROR((J7+L7-I7)/I7,0)</f>
        <v/>
      </c>
      <c r="O7" s="42">
        <f>IFERROR(J7/SUM($J$4:$J$13),0)</f>
        <v/>
      </c>
      <c r="P7" s="13">
        <f>IF(N7&gt;=0,"Positivo","Atenção")</f>
        <v/>
      </c>
    </row>
    <row r="8">
      <c r="A8" s="3" t="inlineStr">
        <is>
          <t>VISC11</t>
        </is>
      </c>
      <c r="B8" s="3" t="inlineStr">
        <is>
          <t>Vinci Shopping Centers FII</t>
        </is>
      </c>
      <c r="C8" s="3" t="inlineStr">
        <is>
          <t>Shopping</t>
        </is>
      </c>
      <c r="D8" s="3" t="inlineStr">
        <is>
          <t>Vinci Partners</t>
        </is>
      </c>
      <c r="E8" s="37" t="n">
        <v>46099</v>
      </c>
      <c r="F8" s="5" t="n">
        <v>22</v>
      </c>
      <c r="G8" s="38" t="n">
        <v>115.3</v>
      </c>
      <c r="H8" s="38" t="n">
        <v>112.4</v>
      </c>
      <c r="I8" s="39">
        <f>F8*G8</f>
        <v/>
      </c>
      <c r="J8" s="39">
        <f>F8*H8</f>
        <v/>
      </c>
      <c r="K8" s="38" t="n">
        <v>0.95</v>
      </c>
      <c r="L8" s="39">
        <f>F8*K8</f>
        <v/>
      </c>
      <c r="M8" s="40">
        <f>IFERROR(K8/H8,0)</f>
        <v/>
      </c>
      <c r="N8" s="40">
        <f>IFERROR((J8+L8-I8)/I8,0)</f>
        <v/>
      </c>
      <c r="O8" s="40">
        <f>IFERROR(J8/SUM($J$4:$J$13),0)</f>
        <v/>
      </c>
      <c r="P8" s="9">
        <f>IF(N8&gt;=0,"Positivo","Atenção")</f>
        <v/>
      </c>
    </row>
    <row r="9">
      <c r="A9" s="10" t="inlineStr">
        <is>
          <t>BCFF11</t>
        </is>
      </c>
      <c r="B9" s="10" t="inlineStr">
        <is>
          <t>BTG Pactual Fundo de Fundos</t>
        </is>
      </c>
      <c r="C9" s="10" t="inlineStr">
        <is>
          <t>Fundos de Fundos</t>
        </is>
      </c>
      <c r="D9" s="10" t="inlineStr">
        <is>
          <t>BTG Pactual</t>
        </is>
      </c>
      <c r="E9" s="37" t="n">
        <v>46119</v>
      </c>
      <c r="F9" s="5" t="n">
        <v>50</v>
      </c>
      <c r="G9" s="38" t="n">
        <v>68.90000000000001</v>
      </c>
      <c r="H9" s="38" t="n">
        <v>66.09999999999999</v>
      </c>
      <c r="I9" s="41">
        <f>F9*G9</f>
        <v/>
      </c>
      <c r="J9" s="41">
        <f>F9*H9</f>
        <v/>
      </c>
      <c r="K9" s="38" t="n">
        <v>0.62</v>
      </c>
      <c r="L9" s="41">
        <f>F9*K9</f>
        <v/>
      </c>
      <c r="M9" s="42">
        <f>IFERROR(K9/H9,0)</f>
        <v/>
      </c>
      <c r="N9" s="42">
        <f>IFERROR((J9+L9-I9)/I9,0)</f>
        <v/>
      </c>
      <c r="O9" s="42">
        <f>IFERROR(J9/SUM($J$4:$J$13),0)</f>
        <v/>
      </c>
      <c r="P9" s="13">
        <f>IF(N9&gt;=0,"Positivo","Atenção")</f>
        <v/>
      </c>
    </row>
    <row r="10">
      <c r="A10" s="3" t="inlineStr">
        <is>
          <t>CPTS11</t>
        </is>
      </c>
      <c r="B10" s="3" t="inlineStr">
        <is>
          <t>Capitânia Securities II FII</t>
        </is>
      </c>
      <c r="C10" s="3" t="inlineStr">
        <is>
          <t>Recebíveis</t>
        </is>
      </c>
      <c r="D10" s="3" t="inlineStr">
        <is>
          <t>Capitânia Investimentos</t>
        </is>
      </c>
      <c r="E10" s="37" t="n">
        <v>46154</v>
      </c>
      <c r="F10" s="5" t="n">
        <v>45</v>
      </c>
      <c r="G10" s="38" t="n">
        <v>7.85</v>
      </c>
      <c r="H10" s="38" t="n">
        <v>8.1</v>
      </c>
      <c r="I10" s="39">
        <f>F10*G10</f>
        <v/>
      </c>
      <c r="J10" s="39">
        <f>F10*H10</f>
        <v/>
      </c>
      <c r="K10" s="38" t="n">
        <v>0.08</v>
      </c>
      <c r="L10" s="39">
        <f>F10*K10</f>
        <v/>
      </c>
      <c r="M10" s="40">
        <f>IFERROR(K10/H10,0)</f>
        <v/>
      </c>
      <c r="N10" s="40">
        <f>IFERROR((J10+L10-I10)/I10,0)</f>
        <v/>
      </c>
      <c r="O10" s="40">
        <f>IFERROR(J10/SUM($J$4:$J$13),0)</f>
        <v/>
      </c>
      <c r="P10" s="9">
        <f>IF(N10&gt;=0,"Positivo","Atenção")</f>
        <v/>
      </c>
    </row>
    <row r="11">
      <c r="A11" s="10" t="inlineStr">
        <is>
          <t>RBRF11</t>
        </is>
      </c>
      <c r="B11" s="10" t="inlineStr">
        <is>
          <t>RBR Alpha FII</t>
        </is>
      </c>
      <c r="C11" s="10" t="inlineStr">
        <is>
          <t>Fundos de Fundos</t>
        </is>
      </c>
      <c r="D11" s="10" t="inlineStr">
        <is>
          <t>RBR Asset</t>
        </is>
      </c>
      <c r="E11" s="37" t="n">
        <v>46170</v>
      </c>
      <c r="F11" s="5" t="n">
        <v>35</v>
      </c>
      <c r="G11" s="38" t="n">
        <v>72.40000000000001</v>
      </c>
      <c r="H11" s="38" t="n">
        <v>75.59999999999999</v>
      </c>
      <c r="I11" s="41">
        <f>F11*G11</f>
        <v/>
      </c>
      <c r="J11" s="41">
        <f>F11*H11</f>
        <v/>
      </c>
      <c r="K11" s="38" t="n">
        <v>0.55</v>
      </c>
      <c r="L11" s="41">
        <f>F11*K11</f>
        <v/>
      </c>
      <c r="M11" s="42">
        <f>IFERROR(K11/H11,0)</f>
        <v/>
      </c>
      <c r="N11" s="42">
        <f>IFERROR((J11+L11-I11)/I11,0)</f>
        <v/>
      </c>
      <c r="O11" s="42">
        <f>IFERROR(J11/SUM($J$4:$J$13),0)</f>
        <v/>
      </c>
      <c r="P11" s="13">
        <f>IF(N11&gt;=0,"Positivo","Atenção")</f>
        <v/>
      </c>
    </row>
    <row r="12">
      <c r="A12" s="3" t="inlineStr">
        <is>
          <t>HSML11</t>
        </is>
      </c>
      <c r="B12" s="3" t="inlineStr">
        <is>
          <t>HSI Mall FII</t>
        </is>
      </c>
      <c r="C12" s="3" t="inlineStr">
        <is>
          <t>Shopping</t>
        </is>
      </c>
      <c r="D12" s="3" t="inlineStr">
        <is>
          <t>HSI Gestão</t>
        </is>
      </c>
      <c r="E12" s="37" t="n">
        <v>46188</v>
      </c>
      <c r="F12" s="5" t="n">
        <v>18</v>
      </c>
      <c r="G12" s="38" t="n">
        <v>98.7</v>
      </c>
      <c r="H12" s="38" t="n">
        <v>103.3</v>
      </c>
      <c r="I12" s="39">
        <f>F12*G12</f>
        <v/>
      </c>
      <c r="J12" s="39">
        <f>F12*H12</f>
        <v/>
      </c>
      <c r="K12" s="38" t="n">
        <v>0.8</v>
      </c>
      <c r="L12" s="39">
        <f>F12*K12</f>
        <v/>
      </c>
      <c r="M12" s="40">
        <f>IFERROR(K12/H12,0)</f>
        <v/>
      </c>
      <c r="N12" s="40">
        <f>IFERROR((J12+L12-I12)/I12,0)</f>
        <v/>
      </c>
      <c r="O12" s="40">
        <f>IFERROR(J12/SUM($J$4:$J$13),0)</f>
        <v/>
      </c>
      <c r="P12" s="9">
        <f>IF(N12&gt;=0,"Positivo","Atenção")</f>
        <v/>
      </c>
    </row>
    <row r="13">
      <c r="A13" s="10" t="inlineStr">
        <is>
          <t>HGRE11</t>
        </is>
      </c>
      <c r="B13" s="10" t="inlineStr">
        <is>
          <t>CSHG Real Estate FII</t>
        </is>
      </c>
      <c r="C13" s="10" t="inlineStr">
        <is>
          <t>Lajes Corporativas</t>
        </is>
      </c>
      <c r="D13" s="10" t="inlineStr">
        <is>
          <t>CSHG Gestão</t>
        </is>
      </c>
      <c r="E13" s="37" t="n">
        <v>46218</v>
      </c>
      <c r="F13" s="5" t="n">
        <v>12</v>
      </c>
      <c r="G13" s="38" t="n">
        <v>131.9</v>
      </c>
      <c r="H13" s="38" t="n">
        <v>128.5</v>
      </c>
      <c r="I13" s="41">
        <f>F13*G13</f>
        <v/>
      </c>
      <c r="J13" s="41">
        <f>F13*H13</f>
        <v/>
      </c>
      <c r="K13" s="38" t="n">
        <v>1.1</v>
      </c>
      <c r="L13" s="41">
        <f>F13*K13</f>
        <v/>
      </c>
      <c r="M13" s="42">
        <f>IFERROR(K13/H13,0)</f>
        <v/>
      </c>
      <c r="N13" s="42">
        <f>IFERROR((J13+L13-I13)/I13,0)</f>
        <v/>
      </c>
      <c r="O13" s="42">
        <f>IFERROR(J13/SUM($J$4:$J$13),0)</f>
        <v/>
      </c>
      <c r="P13" s="13">
        <f>IF(N13&gt;=0,"Positivo","Atenção")</f>
        <v/>
      </c>
    </row>
    <row r="14">
      <c r="A14" s="14" t="n"/>
      <c r="B14" s="14" t="inlineStr">
        <is>
          <t>TOTAIS</t>
        </is>
      </c>
      <c r="C14" s="14" t="n"/>
      <c r="D14" s="14" t="n"/>
      <c r="E14" s="14" t="n"/>
      <c r="F14" s="14" t="n"/>
      <c r="G14" s="14" t="n"/>
      <c r="H14" s="14" t="n"/>
      <c r="I14" s="43">
        <f>SUM(I4:I13)</f>
        <v/>
      </c>
      <c r="J14" s="43">
        <f>SUM(J4:J13)</f>
        <v/>
      </c>
      <c r="K14" s="14" t="n"/>
      <c r="L14" s="43">
        <f>SUM(L4:L13)</f>
        <v/>
      </c>
      <c r="M14" s="14" t="n"/>
      <c r="N14" s="14" t="n"/>
      <c r="O14" s="14" t="n"/>
      <c r="P14" s="14" t="n"/>
      <c r="Q14" s="14" t="n"/>
    </row>
  </sheetData>
  <autoFilter ref="A3:Q13"/>
  <mergeCells count="1">
    <mergeCell ref="A1:F1"/>
  </mergeCells>
  <conditionalFormatting sqref="N4:N13">
    <cfRule type="cellIs" priority="1" operator="greaterThanOrEqual" dxfId="0">
      <formula>0</formula>
    </cfRule>
    <cfRule type="cellIs" priority="2" operator="lessThan" dxfId="1">
      <formula>0</formula>
    </cfRule>
  </conditionalFormatting>
  <conditionalFormatting sqref="P4:P13">
    <cfRule type="cellIs" priority="3" operator="equal" dxfId="0">
      <formula>"Positivo"</formula>
    </cfRule>
    <cfRule type="cellIs" priority="4" operator="equal" dxfId="1">
      <formula>"Atenção"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9" customWidth="1" min="3" max="3"/>
    <col width="30" customWidth="1" min="4" max="4"/>
    <col width="11" customWidth="1" min="5" max="5"/>
    <col width="18" customWidth="1" min="6" max="6"/>
    <col width="12" customWidth="1" min="7" max="7"/>
    <col width="16" customWidth="1" min="8" max="8"/>
    <col width="16" customWidth="1" min="9" max="9"/>
    <col width="10" customWidth="1" min="10" max="10"/>
    <col width="20" customWidth="1" min="11" max="11"/>
    <col width="30" customWidth="1" min="12" max="12"/>
    <col width="32" customWidth="1" min="13" max="13"/>
  </cols>
  <sheetData>
    <row r="1">
      <c r="A1" s="1" t="inlineStr">
        <is>
          <t>Movimentações — Compras, Vendas e Dividendos (2026)</t>
        </is>
      </c>
    </row>
    <row r="2"/>
    <row r="3">
      <c r="A3" s="2" t="inlineStr">
        <is>
          <t>Data</t>
        </is>
      </c>
      <c r="B3" s="2" t="inlineStr">
        <is>
          <t>Tipo</t>
        </is>
      </c>
      <c r="C3" s="2" t="inlineStr">
        <is>
          <t>Ticker</t>
        </is>
      </c>
      <c r="D3" s="2" t="inlineStr">
        <is>
          <t>Fundo</t>
        </is>
      </c>
      <c r="E3" s="2" t="inlineStr">
        <is>
          <t>Quantidade</t>
        </is>
      </c>
      <c r="F3" s="2" t="inlineStr">
        <is>
          <t>Preço unitário (R$)</t>
        </is>
      </c>
      <c r="G3" s="2" t="inlineStr">
        <is>
          <t>Taxas (R$)</t>
        </is>
      </c>
      <c r="H3" s="2" t="inlineStr">
        <is>
          <t>Valor bruto (R$)</t>
        </is>
      </c>
      <c r="I3" s="2" t="inlineStr">
        <is>
          <t>Valor líquido (R$)</t>
        </is>
      </c>
      <c r="J3" s="2" t="inlineStr">
        <is>
          <t>Mês</t>
        </is>
      </c>
      <c r="K3" s="2" t="inlineStr">
        <is>
          <t>Segmento</t>
        </is>
      </c>
      <c r="L3" s="2" t="inlineStr">
        <is>
          <t>Investidor/Cidade</t>
        </is>
      </c>
      <c r="M3" s="2" t="inlineStr">
        <is>
          <t>Observação</t>
        </is>
      </c>
    </row>
    <row r="4">
      <c r="A4" s="37" t="n">
        <v>46027</v>
      </c>
      <c r="B4" s="16" t="inlineStr">
        <is>
          <t>Compra</t>
        </is>
      </c>
      <c r="C4" s="16" t="inlineStr">
        <is>
          <t>HGLG11</t>
        </is>
      </c>
      <c r="D4" s="3">
        <f>IFERROR(VLOOKUP(C4,Carteira!$A$4:$C$13,2,FALSE),"Ticker não encontrado")</f>
        <v/>
      </c>
      <c r="E4" s="5" t="n">
        <v>40</v>
      </c>
      <c r="F4" s="38" t="n">
        <v>162</v>
      </c>
      <c r="G4" s="38" t="n">
        <v>2.5</v>
      </c>
      <c r="H4" s="39">
        <f>E4*F4</f>
        <v/>
      </c>
      <c r="I4" s="39">
        <f>IF(B4="Compra",H4+G4,H4-G4)</f>
        <v/>
      </c>
      <c r="J4" s="17">
        <f>TEXT(A4,"MM/AAAA")</f>
        <v/>
      </c>
      <c r="K4" s="3">
        <f>IFERROR(VLOOKUP(C4,Carteira!$A$4:$C$13,3,FALSE),"")</f>
        <v/>
      </c>
      <c r="L4" s="16" t="inlineStr">
        <is>
          <t>João Silva — São Paulo</t>
        </is>
      </c>
      <c r="M4" s="16" t="inlineStr">
        <is>
          <t>Aporte inicial em logística</t>
        </is>
      </c>
    </row>
    <row r="5">
      <c r="A5" s="37" t="n">
        <v>46042</v>
      </c>
      <c r="B5" s="16" t="inlineStr">
        <is>
          <t>Compra</t>
        </is>
      </c>
      <c r="C5" s="16" t="inlineStr">
        <is>
          <t>KNRI11</t>
        </is>
      </c>
      <c r="D5" s="10">
        <f>IFERROR(VLOOKUP(C5,Carteira!$A$4:$C$13,2,FALSE),"Ticker não encontrado")</f>
        <v/>
      </c>
      <c r="E5" s="5" t="n">
        <v>25</v>
      </c>
      <c r="F5" s="38" t="n">
        <v>143.8</v>
      </c>
      <c r="G5" s="38" t="n">
        <v>2.5</v>
      </c>
      <c r="H5" s="41">
        <f>E5*F5</f>
        <v/>
      </c>
      <c r="I5" s="41">
        <f>IF(B5="Compra",H5+G5,H5-G5)</f>
        <v/>
      </c>
      <c r="J5" s="18">
        <f>TEXT(A5,"MM/AAAA")</f>
        <v/>
      </c>
      <c r="K5" s="10">
        <f>IFERROR(VLOOKUP(C5,Carteira!$A$4:$C$13,3,FALSE),"")</f>
        <v/>
      </c>
      <c r="L5" s="16" t="inlineStr">
        <is>
          <t>Maria Oliveira — Rio de Janeiro</t>
        </is>
      </c>
      <c r="M5" s="16" t="inlineStr">
        <is>
          <t>Diversificação em fundo híbrido</t>
        </is>
      </c>
    </row>
    <row r="6">
      <c r="A6" s="37" t="n">
        <v>46063</v>
      </c>
      <c r="B6" s="16" t="inlineStr">
        <is>
          <t>Compra</t>
        </is>
      </c>
      <c r="C6" s="16" t="inlineStr">
        <is>
          <t>MXRF11</t>
        </is>
      </c>
      <c r="D6" s="3">
        <f>IFERROR(VLOOKUP(C6,Carteira!$A$4:$C$13,2,FALSE),"Ticker não encontrado")</f>
        <v/>
      </c>
      <c r="E6" s="5" t="n">
        <v>80</v>
      </c>
      <c r="F6" s="38" t="n">
        <v>10.1</v>
      </c>
      <c r="G6" s="38" t="n">
        <v>0</v>
      </c>
      <c r="H6" s="39">
        <f>E6*F6</f>
        <v/>
      </c>
      <c r="I6" s="39">
        <f>IF(B6="Compra",H6+G6,H6-G6)</f>
        <v/>
      </c>
      <c r="J6" s="17">
        <f>TEXT(A6,"MM/AAAA")</f>
        <v/>
      </c>
      <c r="K6" s="3">
        <f>IFERROR(VLOOKUP(C6,Carteira!$A$4:$C$13,3,FALSE),"")</f>
        <v/>
      </c>
      <c r="L6" s="16" t="inlineStr">
        <is>
          <t>Pedro Santos — Belo Horizonte</t>
        </is>
      </c>
      <c r="M6" s="16" t="inlineStr">
        <is>
          <t>Aporte mensal programado</t>
        </is>
      </c>
    </row>
    <row r="7">
      <c r="A7" s="37" t="n">
        <v>46083</v>
      </c>
      <c r="B7" s="16" t="inlineStr">
        <is>
          <t>Compra</t>
        </is>
      </c>
      <c r="C7" s="16" t="inlineStr">
        <is>
          <t>XPLG11</t>
        </is>
      </c>
      <c r="D7" s="10">
        <f>IFERROR(VLOOKUP(C7,Carteira!$A$4:$C$13,2,FALSE),"Ticker não encontrado")</f>
        <v/>
      </c>
      <c r="E7" s="5" t="n">
        <v>30</v>
      </c>
      <c r="F7" s="38" t="n">
        <v>101.5</v>
      </c>
      <c r="G7" s="38" t="n">
        <v>2.5</v>
      </c>
      <c r="H7" s="41">
        <f>E7*F7</f>
        <v/>
      </c>
      <c r="I7" s="41">
        <f>IF(B7="Compra",H7+G7,H7-G7)</f>
        <v/>
      </c>
      <c r="J7" s="18">
        <f>TEXT(A7,"MM/AAAA")</f>
        <v/>
      </c>
      <c r="K7" s="10">
        <f>IFERROR(VLOOKUP(C7,Carteira!$A$4:$C$13,3,FALSE),"")</f>
        <v/>
      </c>
      <c r="L7" s="16" t="inlineStr">
        <is>
          <t>João Silva — São Paulo</t>
        </is>
      </c>
      <c r="M7" s="16" t="inlineStr">
        <is>
          <t>Reforço no segmento logístico</t>
        </is>
      </c>
    </row>
    <row r="8">
      <c r="A8" s="37" t="n">
        <v>46119</v>
      </c>
      <c r="B8" s="16" t="inlineStr">
        <is>
          <t>Compra</t>
        </is>
      </c>
      <c r="C8" s="16" t="inlineStr">
        <is>
          <t>BCFF11</t>
        </is>
      </c>
      <c r="D8" s="3">
        <f>IFERROR(VLOOKUP(C8,Carteira!$A$4:$C$13,2,FALSE),"Ticker não encontrado")</f>
        <v/>
      </c>
      <c r="E8" s="5" t="n">
        <v>50</v>
      </c>
      <c r="F8" s="38" t="n">
        <v>68.90000000000001</v>
      </c>
      <c r="G8" s="38" t="n">
        <v>2.5</v>
      </c>
      <c r="H8" s="39">
        <f>E8*F8</f>
        <v/>
      </c>
      <c r="I8" s="39">
        <f>IF(B8="Compra",H8+G8,H8-G8)</f>
        <v/>
      </c>
      <c r="J8" s="17">
        <f>TEXT(A8,"MM/AAAA")</f>
        <v/>
      </c>
      <c r="K8" s="3">
        <f>IFERROR(VLOOKUP(C8,Carteira!$A$4:$C$13,3,FALSE),"")</f>
        <v/>
      </c>
      <c r="L8" s="16" t="inlineStr">
        <is>
          <t>Maria Oliveira — Rio de Janeiro</t>
        </is>
      </c>
      <c r="M8" s="16" t="inlineStr">
        <is>
          <t>Entrada em fundo de fundos</t>
        </is>
      </c>
    </row>
    <row r="9">
      <c r="A9" s="37" t="n">
        <v>46154</v>
      </c>
      <c r="B9" s="16" t="inlineStr">
        <is>
          <t>Dividendo</t>
        </is>
      </c>
      <c r="C9" s="16" t="inlineStr">
        <is>
          <t>HGLG11</t>
        </is>
      </c>
      <c r="D9" s="10">
        <f>IFERROR(VLOOKUP(C9,Carteira!$A$4:$C$13,2,FALSE),"Ticker não encontrado")</f>
        <v/>
      </c>
      <c r="E9" s="5" t="n">
        <v>40</v>
      </c>
      <c r="F9" s="38" t="n">
        <v>1.15</v>
      </c>
      <c r="G9" s="38" t="n">
        <v>0</v>
      </c>
      <c r="H9" s="41">
        <f>E9*F9</f>
        <v/>
      </c>
      <c r="I9" s="41">
        <f>IF(B9="Compra",H9+G9,H9-G9)</f>
        <v/>
      </c>
      <c r="J9" s="18">
        <f>TEXT(A9,"MM/AAAA")</f>
        <v/>
      </c>
      <c r="K9" s="10">
        <f>IFERROR(VLOOKUP(C9,Carteira!$A$4:$C$13,3,FALSE),"")</f>
        <v/>
      </c>
      <c r="L9" s="16" t="inlineStr">
        <is>
          <t>João Silva — São Paulo</t>
        </is>
      </c>
      <c r="M9" s="16" t="inlineStr">
        <is>
          <t>Rendimento mensal de maio</t>
        </is>
      </c>
    </row>
    <row r="10">
      <c r="A10" s="37" t="n">
        <v>46188</v>
      </c>
      <c r="B10" s="16" t="inlineStr">
        <is>
          <t>Compra</t>
        </is>
      </c>
      <c r="C10" s="16" t="inlineStr">
        <is>
          <t>HSML11</t>
        </is>
      </c>
      <c r="D10" s="3">
        <f>IFERROR(VLOOKUP(C10,Carteira!$A$4:$C$13,2,FALSE),"Ticker não encontrado")</f>
        <v/>
      </c>
      <c r="E10" s="5" t="n">
        <v>18</v>
      </c>
      <c r="F10" s="38" t="n">
        <v>98.7</v>
      </c>
      <c r="G10" s="38" t="n">
        <v>2.5</v>
      </c>
      <c r="H10" s="39">
        <f>E10*F10</f>
        <v/>
      </c>
      <c r="I10" s="39">
        <f>IF(B10="Compra",H10+G10,H10-G10)</f>
        <v/>
      </c>
      <c r="J10" s="17">
        <f>TEXT(A10,"MM/AAAA")</f>
        <v/>
      </c>
      <c r="K10" s="3">
        <f>IFERROR(VLOOKUP(C10,Carteira!$A$4:$C$13,3,FALSE),"")</f>
        <v/>
      </c>
      <c r="L10" s="16" t="inlineStr">
        <is>
          <t>Pedro Santos — Curitiba</t>
        </is>
      </c>
      <c r="M10" s="16" t="inlineStr">
        <is>
          <t>Aporte em shopping</t>
        </is>
      </c>
    </row>
    <row r="11">
      <c r="A11" s="37" t="n">
        <v>46223</v>
      </c>
      <c r="B11" s="16" t="inlineStr">
        <is>
          <t>Dividendo</t>
        </is>
      </c>
      <c r="C11" s="16" t="inlineStr">
        <is>
          <t>MXRF11</t>
        </is>
      </c>
      <c r="D11" s="10">
        <f>IFERROR(VLOOKUP(C11,Carteira!$A$4:$C$13,2,FALSE),"Ticker não encontrado")</f>
        <v/>
      </c>
      <c r="E11" s="5" t="n">
        <v>80</v>
      </c>
      <c r="F11" s="38" t="n">
        <v>0.1</v>
      </c>
      <c r="G11" s="38" t="n">
        <v>0</v>
      </c>
      <c r="H11" s="41">
        <f>E11*F11</f>
        <v/>
      </c>
      <c r="I11" s="41">
        <f>IF(B11="Compra",H11+G11,H11-G11)</f>
        <v/>
      </c>
      <c r="J11" s="18">
        <f>TEXT(A11,"MM/AAAA")</f>
        <v/>
      </c>
      <c r="K11" s="10">
        <f>IFERROR(VLOOKUP(C11,Carteira!$A$4:$C$13,3,FALSE),"")</f>
        <v/>
      </c>
      <c r="L11" s="16" t="inlineStr">
        <is>
          <t>Pedro Santos — Belo Horizonte</t>
        </is>
      </c>
      <c r="M11" s="16" t="inlineStr">
        <is>
          <t>Rendimento mensal de julho</t>
        </is>
      </c>
    </row>
  </sheetData>
  <autoFilter ref="A3:M11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18" customWidth="1" min="3" max="3"/>
    <col width="26" customWidth="1" min="4" max="4"/>
    <col width="14" customWidth="1" min="5" max="5"/>
  </cols>
  <sheetData>
    <row r="1">
      <c r="A1" s="1" t="inlineStr">
        <is>
          <t>Dashboard — Indicadores da Carteira de FIIs</t>
        </is>
      </c>
    </row>
    <row r="2"/>
    <row r="3">
      <c r="A3" s="19" t="inlineStr">
        <is>
          <t>Total investido</t>
        </is>
      </c>
      <c r="B3" s="44">
        <f>SUM(Carteira!I4:I13)</f>
        <v/>
      </c>
    </row>
    <row r="4">
      <c r="A4" s="19" t="inlineStr">
        <is>
          <t>Valor atual da carteira</t>
        </is>
      </c>
      <c r="B4" s="45">
        <f>SUM(Carteira!J4:J13)</f>
        <v/>
      </c>
    </row>
    <row r="5">
      <c r="A5" s="19" t="inlineStr">
        <is>
          <t>Total de dividendos</t>
        </is>
      </c>
      <c r="B5" s="44">
        <f>SUM(Carteira!L4:L13)</f>
        <v/>
      </c>
    </row>
    <row r="6">
      <c r="A6" s="19" t="inlineStr">
        <is>
          <t>Rentabilidade média</t>
        </is>
      </c>
      <c r="B6" s="46">
        <f>AVERAGE(Carteira!N4:N13)</f>
        <v/>
      </c>
    </row>
    <row r="7">
      <c r="A7" s="19" t="inlineStr">
        <is>
          <t>Quantidade de FIIs</t>
        </is>
      </c>
      <c r="B7" s="23">
        <f>COUNTIF(Carteira!A4:A13,"&lt;&gt;")</f>
        <v/>
      </c>
    </row>
    <row r="8">
      <c r="A8" s="19" t="inlineStr">
        <is>
          <t>FIIs positivos</t>
        </is>
      </c>
      <c r="B8" s="24">
        <f>COUNTIF(Carteira!P4:P13,"Positivo")</f>
        <v/>
      </c>
    </row>
    <row r="9">
      <c r="A9" s="19" t="inlineStr">
        <is>
          <t>% da carteira em FIIs positivos</t>
        </is>
      </c>
      <c r="B9" s="47">
        <f>IFERROR(B8/B7,0)</f>
        <v/>
      </c>
    </row>
    <row r="10">
      <c r="A10" s="19" t="inlineStr">
        <is>
          <t>Maior posição (participação)</t>
        </is>
      </c>
      <c r="B10" s="46">
        <f>MAX(Carteira!O4:O13)</f>
        <v/>
      </c>
    </row>
    <row r="11"/>
    <row r="12">
      <c r="A12" s="26" t="inlineStr">
        <is>
          <t>Resumo por Segmento</t>
        </is>
      </c>
    </row>
    <row r="13">
      <c r="A13" s="2" t="inlineStr">
        <is>
          <t>Segmento</t>
        </is>
      </c>
      <c r="B13" s="2" t="inlineStr">
        <is>
          <t>Valor atual (R$)</t>
        </is>
      </c>
      <c r="C13" s="2" t="inlineStr">
        <is>
          <t>Participação (%)</t>
        </is>
      </c>
      <c r="D13" s="2" t="inlineStr">
        <is>
          <t>Dividendos recebidos (R$)</t>
        </is>
      </c>
    </row>
    <row r="14">
      <c r="A14" s="3" t="inlineStr">
        <is>
          <t>Logística</t>
        </is>
      </c>
      <c r="B14" s="39">
        <f>SUMIF(Carteira!$C$4:$C$13,A14,Carteira!$J$4:$J$13)</f>
        <v/>
      </c>
      <c r="C14" s="40">
        <f>IFERROR(B14/SUM(Carteira!$J$4:$J$13),0)</f>
        <v/>
      </c>
      <c r="D14" s="39">
        <f>SUMIF(Carteira!$C$4:$C$13,A14,Carteira!$L$4:$L$13)</f>
        <v/>
      </c>
    </row>
    <row r="15">
      <c r="A15" s="10" t="inlineStr">
        <is>
          <t>Híbrido</t>
        </is>
      </c>
      <c r="B15" s="41">
        <f>SUMIF(Carteira!$C$4:$C$13,A15,Carteira!$J$4:$J$13)</f>
        <v/>
      </c>
      <c r="C15" s="42">
        <f>IFERROR(B15/SUM(Carteira!$J$4:$J$13),0)</f>
        <v/>
      </c>
      <c r="D15" s="41">
        <f>SUMIF(Carteira!$C$4:$C$13,A15,Carteira!$L$4:$L$13)</f>
        <v/>
      </c>
    </row>
    <row r="16">
      <c r="A16" s="3" t="inlineStr">
        <is>
          <t>Recebíveis</t>
        </is>
      </c>
      <c r="B16" s="39">
        <f>SUMIF(Carteira!$C$4:$C$13,A16,Carteira!$J$4:$J$13)</f>
        <v/>
      </c>
      <c r="C16" s="40">
        <f>IFERROR(B16/SUM(Carteira!$J$4:$J$13),0)</f>
        <v/>
      </c>
      <c r="D16" s="39">
        <f>SUMIF(Carteira!$C$4:$C$13,A16,Carteira!$L$4:$L$13)</f>
        <v/>
      </c>
    </row>
    <row r="17">
      <c r="A17" s="10" t="inlineStr">
        <is>
          <t>Shopping</t>
        </is>
      </c>
      <c r="B17" s="41">
        <f>SUMIF(Carteira!$C$4:$C$13,A17,Carteira!$J$4:$J$13)</f>
        <v/>
      </c>
      <c r="C17" s="42">
        <f>IFERROR(B17/SUM(Carteira!$J$4:$J$13),0)</f>
        <v/>
      </c>
      <c r="D17" s="41">
        <f>SUMIF(Carteira!$C$4:$C$13,A17,Carteira!$L$4:$L$13)</f>
        <v/>
      </c>
    </row>
    <row r="18">
      <c r="A18" s="3" t="inlineStr">
        <is>
          <t>Fundos de Fundos</t>
        </is>
      </c>
      <c r="B18" s="39">
        <f>SUMIF(Carteira!$C$4:$C$13,A18,Carteira!$J$4:$J$13)</f>
        <v/>
      </c>
      <c r="C18" s="40">
        <f>IFERROR(B18/SUM(Carteira!$J$4:$J$13),0)</f>
        <v/>
      </c>
      <c r="D18" s="39">
        <f>SUMIF(Carteira!$C$4:$C$13,A18,Carteira!$L$4:$L$13)</f>
        <v/>
      </c>
    </row>
    <row r="19">
      <c r="A19" s="10" t="inlineStr">
        <is>
          <t>Lajes Corporativas</t>
        </is>
      </c>
      <c r="B19" s="41">
        <f>SUMIF(Carteira!$C$4:$C$13,A19,Carteira!$J$4:$J$13)</f>
        <v/>
      </c>
      <c r="C19" s="42">
        <f>IFERROR(B19/SUM(Carteira!$J$4:$J$13),0)</f>
        <v/>
      </c>
      <c r="D19" s="41">
        <f>SUMIF(Carteira!$C$4:$C$13,A19,Carteira!$L$4:$L$13)</f>
        <v/>
      </c>
    </row>
    <row r="20"/>
    <row r="21"/>
    <row r="22">
      <c r="A22" s="26" t="inlineStr">
        <is>
          <t>Valor atual por Ticker</t>
        </is>
      </c>
    </row>
    <row r="23">
      <c r="A23" s="2" t="inlineStr">
        <is>
          <t>Ticker</t>
        </is>
      </c>
      <c r="B23" s="2" t="inlineStr">
        <is>
          <t>Valor atual (R$)</t>
        </is>
      </c>
    </row>
    <row r="24">
      <c r="A24" s="28">
        <f>Carteira!A4</f>
        <v/>
      </c>
      <c r="B24" s="48">
        <f>Carteira!J4</f>
        <v/>
      </c>
    </row>
    <row r="25">
      <c r="A25" s="30">
        <f>Carteira!A5</f>
        <v/>
      </c>
      <c r="B25" s="49">
        <f>Carteira!J5</f>
        <v/>
      </c>
    </row>
    <row r="26">
      <c r="A26" s="28">
        <f>Carteira!A6</f>
        <v/>
      </c>
      <c r="B26" s="48">
        <f>Carteira!J6</f>
        <v/>
      </c>
    </row>
    <row r="27">
      <c r="A27" s="30">
        <f>Carteira!A7</f>
        <v/>
      </c>
      <c r="B27" s="49">
        <f>Carteira!J7</f>
        <v/>
      </c>
    </row>
    <row r="28">
      <c r="A28" s="28">
        <f>Carteira!A8</f>
        <v/>
      </c>
      <c r="B28" s="48">
        <f>Carteira!J8</f>
        <v/>
      </c>
    </row>
    <row r="29">
      <c r="A29" s="30">
        <f>Carteira!A9</f>
        <v/>
      </c>
      <c r="B29" s="49">
        <f>Carteira!J9</f>
        <v/>
      </c>
    </row>
    <row r="30">
      <c r="A30" s="28">
        <f>Carteira!A10</f>
        <v/>
      </c>
      <c r="B30" s="48">
        <f>Carteira!J10</f>
        <v/>
      </c>
    </row>
    <row r="31">
      <c r="A31" s="30">
        <f>Carteira!A11</f>
        <v/>
      </c>
      <c r="B31" s="49">
        <f>Carteira!J11</f>
        <v/>
      </c>
    </row>
    <row r="32">
      <c r="A32" s="28">
        <f>Carteira!A12</f>
        <v/>
      </c>
      <c r="B32" s="48">
        <f>Carteira!J12</f>
        <v/>
      </c>
    </row>
    <row r="33">
      <c r="A33" s="30">
        <f>Carteira!A13</f>
        <v/>
      </c>
      <c r="B33" s="49">
        <f>Carteira!J13</f>
        <v/>
      </c>
    </row>
    <row r="34"/>
    <row r="35"/>
    <row r="36">
      <c r="A36" s="26" t="inlineStr">
        <is>
          <t>Aportes Mensais (Compras)</t>
        </is>
      </c>
    </row>
    <row r="37">
      <c r="A37" s="2" t="inlineStr">
        <is>
          <t>Mês</t>
        </is>
      </c>
      <c r="B37" s="2" t="inlineStr">
        <is>
          <t>Aportes (R$)</t>
        </is>
      </c>
    </row>
    <row r="38">
      <c r="A38" s="28" t="inlineStr">
        <is>
          <t>01/2026</t>
        </is>
      </c>
      <c r="B38" s="48">
        <f>SUMIFS(Movimentações!$I$4:$I$11,Movimentações!$J$4:$J$11,A38,Movimentações!$B$4:$B$11,"Compra")</f>
        <v/>
      </c>
    </row>
    <row r="39">
      <c r="A39" s="30" t="inlineStr">
        <is>
          <t>02/2026</t>
        </is>
      </c>
      <c r="B39" s="49">
        <f>SUMIFS(Movimentações!$I$4:$I$11,Movimentações!$J$4:$J$11,A39,Movimentações!$B$4:$B$11,"Compra")</f>
        <v/>
      </c>
    </row>
    <row r="40">
      <c r="A40" s="28" t="inlineStr">
        <is>
          <t>03/2026</t>
        </is>
      </c>
      <c r="B40" s="48">
        <f>SUMIFS(Movimentações!$I$4:$I$11,Movimentações!$J$4:$J$11,A40,Movimentações!$B$4:$B$11,"Compra")</f>
        <v/>
      </c>
    </row>
    <row r="41">
      <c r="A41" s="30" t="inlineStr">
        <is>
          <t>04/2026</t>
        </is>
      </c>
      <c r="B41" s="49">
        <f>SUMIFS(Movimentações!$I$4:$I$11,Movimentações!$J$4:$J$11,A41,Movimentações!$B$4:$B$11,"Compra")</f>
        <v/>
      </c>
    </row>
    <row r="42">
      <c r="A42" s="28" t="inlineStr">
        <is>
          <t>05/2026</t>
        </is>
      </c>
      <c r="B42" s="48">
        <f>SUMIFS(Movimentações!$I$4:$I$11,Movimentações!$J$4:$J$11,A42,Movimentações!$B$4:$B$11,"Compra")</f>
        <v/>
      </c>
    </row>
    <row r="43">
      <c r="A43" s="30" t="inlineStr">
        <is>
          <t>06/2026</t>
        </is>
      </c>
      <c r="B43" s="49">
        <f>SUMIFS(Movimentações!$I$4:$I$11,Movimentações!$J$4:$J$11,A43,Movimentações!$B$4:$B$11,"Compra")</f>
        <v/>
      </c>
    </row>
    <row r="44">
      <c r="A44" s="28" t="inlineStr">
        <is>
          <t>07/2026</t>
        </is>
      </c>
      <c r="B44" s="48">
        <f>SUMIFS(Movimentações!$I$4:$I$11,Movimentações!$J$4:$J$11,A44,Movimentações!$B$4:$B$11,"Compra")</f>
        <v/>
      </c>
    </row>
  </sheetData>
  <mergeCells count="4">
    <mergeCell ref="A1:H1"/>
    <mergeCell ref="A12:D12"/>
    <mergeCell ref="A22:B22"/>
    <mergeCell ref="A36:B3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Instruções de Uso — Acompanhamento de Fundos Imobiliários</t>
        </is>
      </c>
    </row>
    <row r="2"/>
    <row r="3">
      <c r="A3" s="32" t="inlineStr">
        <is>
          <t>Como cadastrar novos FIIs</t>
        </is>
      </c>
      <c r="B3" s="50" t="n"/>
      <c r="C3" s="50" t="n"/>
      <c r="D3" s="50" t="n"/>
      <c r="E3" s="50" t="n"/>
      <c r="F3" s="51" t="n"/>
    </row>
    <row r="4" ht="42" customHeight="1">
      <c r="A4" s="35" t="inlineStr">
        <is>
          <t>Na planilha Carteira, preencha uma nova linha com ticker, nome do fundo, segmento, gestora, data da compra, quantidade, preço médio e cotação atual (células em amarelo claro). As demais colunas são calculadas automaticamente.</t>
        </is>
      </c>
      <c r="B4" s="50" t="n"/>
      <c r="C4" s="50" t="n"/>
      <c r="D4" s="50" t="n"/>
      <c r="E4" s="50" t="n"/>
      <c r="F4" s="51" t="n"/>
    </row>
    <row r="5"/>
    <row r="6">
      <c r="A6" s="32" t="inlineStr">
        <is>
          <t>Como registrar movimentações</t>
        </is>
      </c>
      <c r="B6" s="50" t="n"/>
      <c r="C6" s="50" t="n"/>
      <c r="D6" s="50" t="n"/>
      <c r="E6" s="50" t="n"/>
      <c r="F6" s="51" t="n"/>
    </row>
    <row r="7" ht="42" customHeight="1">
      <c r="A7" s="35" t="inlineStr">
        <is>
          <t>Na planilha Movimentações, informe data, tipo (Compra, Venda ou Dividendo), ticker, quantidade, preço unitário e taxas. Fundo, valor bruto, valor líquido, mês e segmento são preenchidos por fórmulas.</t>
        </is>
      </c>
      <c r="B7" s="50" t="n"/>
      <c r="C7" s="50" t="n"/>
      <c r="D7" s="50" t="n"/>
      <c r="E7" s="50" t="n"/>
      <c r="F7" s="51" t="n"/>
    </row>
    <row r="8"/>
    <row r="9">
      <c r="A9" s="32" t="inlineStr">
        <is>
          <t>Preço médio x cotação atual x valor investido</t>
        </is>
      </c>
      <c r="B9" s="50" t="n"/>
      <c r="C9" s="50" t="n"/>
      <c r="D9" s="50" t="n"/>
      <c r="E9" s="50" t="n"/>
      <c r="F9" s="51" t="n"/>
    </row>
    <row r="10" ht="42" customHeight="1">
      <c r="A10" s="35" t="inlineStr">
        <is>
          <t>Preço médio é o valor médio pago por cota nas compras. Cotação atual é o preço de mercado da cota. Valor investido = quantidade × preço médio; valor atual = quantidade × cotação atual.</t>
        </is>
      </c>
      <c r="B10" s="50" t="n"/>
      <c r="C10" s="50" t="n"/>
      <c r="D10" s="50" t="n"/>
      <c r="E10" s="50" t="n"/>
      <c r="F10" s="51" t="n"/>
    </row>
    <row r="11"/>
    <row r="12">
      <c r="A12" s="32" t="inlineStr">
        <is>
          <t>Atualização de cotações e dividendos</t>
        </is>
      </c>
      <c r="B12" s="50" t="n"/>
      <c r="C12" s="50" t="n"/>
      <c r="D12" s="50" t="n"/>
      <c r="E12" s="50" t="n"/>
      <c r="F12" s="51" t="n"/>
    </row>
    <row r="13" ht="42" customHeight="1">
      <c r="A13" s="35" t="inlineStr">
        <is>
          <t>Atualize manualmente a coluna Cotação atual (R$) e os Dividendos por cota (R$) na planilha Carteira sempre que desejar, pois a planilha não busca dados externos automaticamente.</t>
        </is>
      </c>
      <c r="B13" s="50" t="n"/>
      <c r="C13" s="50" t="n"/>
      <c r="D13" s="50" t="n"/>
      <c r="E13" s="50" t="n"/>
      <c r="F13" s="51" t="n"/>
    </row>
    <row r="14"/>
    <row r="15">
      <c r="A15" s="32" t="inlineStr">
        <is>
          <t>Uso dos filtros e indicadores</t>
        </is>
      </c>
      <c r="B15" s="50" t="n"/>
      <c r="C15" s="50" t="n"/>
      <c r="D15" s="50" t="n"/>
      <c r="E15" s="50" t="n"/>
      <c r="F15" s="51" t="n"/>
    </row>
    <row r="16" ht="42" customHeight="1">
      <c r="A16" s="35" t="inlineStr">
        <is>
          <t>Use os filtros dos cabeçalhos para ordenar por ticker, segmento ou status. No Dashboard, acompanhe o total investido, valor atual, dividendos, rentabilidade média e o resumo por segmento com gráficos.</t>
        </is>
      </c>
      <c r="B16" s="50" t="n"/>
      <c r="C16" s="50" t="n"/>
      <c r="D16" s="50" t="n"/>
      <c r="E16" s="50" t="n"/>
      <c r="F16" s="51" t="n"/>
    </row>
    <row r="17"/>
    <row r="18">
      <c r="A18" s="32" t="inlineStr">
        <is>
          <t>Status da posição</t>
        </is>
      </c>
      <c r="B18" s="50" t="n"/>
      <c r="C18" s="50" t="n"/>
      <c r="D18" s="50" t="n"/>
      <c r="E18" s="50" t="n"/>
      <c r="F18" s="51" t="n"/>
    </row>
    <row r="19" ht="42" customHeight="1">
      <c r="A19" s="35" t="inlineStr">
        <is>
          <t>O status Positivo indica rentabilidade total maior ou igual a zero; Atenção indica rentabilidade negativa. Rentabilidades positivas aparecem em verde e negativas em vermelho.</t>
        </is>
      </c>
      <c r="B19" s="50" t="n"/>
      <c r="C19" s="50" t="n"/>
      <c r="D19" s="50" t="n"/>
      <c r="E19" s="50" t="n"/>
      <c r="F19" s="51" t="n"/>
    </row>
    <row r="20"/>
    <row r="21">
      <c r="A21" s="32" t="inlineStr">
        <is>
          <t>Aviso importante</t>
        </is>
      </c>
      <c r="B21" s="50" t="n"/>
      <c r="C21" s="50" t="n"/>
      <c r="D21" s="50" t="n"/>
      <c r="E21" s="50" t="n"/>
      <c r="F21" s="51" t="n"/>
    </row>
    <row r="22" ht="42" customHeight="1">
      <c r="A22" s="35" t="inlineStr">
        <is>
          <t>Este material é apenas uma ferramenta de organização pessoal de investimentos e não constitui recomendação de compra, venda ou manutenção de qualquer ativo. Consulte um profissional qualificado antes de investir.</t>
        </is>
      </c>
      <c r="B22" s="50" t="n"/>
      <c r="C22" s="50" t="n"/>
      <c r="D22" s="50" t="n"/>
      <c r="E22" s="50" t="n"/>
      <c r="F22" s="51" t="n"/>
    </row>
  </sheetData>
  <mergeCells count="15">
    <mergeCell ref="A1:F1"/>
    <mergeCell ref="A3:F3"/>
    <mergeCell ref="A4:F4"/>
    <mergeCell ref="A6:F6"/>
    <mergeCell ref="A7:F7"/>
    <mergeCell ref="A9:F9"/>
    <mergeCell ref="A10:F10"/>
    <mergeCell ref="A12:F12"/>
    <mergeCell ref="A13:F13"/>
    <mergeCell ref="A15:F15"/>
    <mergeCell ref="A16:F16"/>
    <mergeCell ref="A18:F18"/>
    <mergeCell ref="A19:F19"/>
    <mergeCell ref="A21:F21"/>
    <mergeCell ref="A22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2026-08-01T17:23:29Z</dcterms:created>
  <dcterms:modified xmlns:dcterms="http://purl.org/dc/terms/" xmlns:xsi="http://www.w3.org/2001/XMLSchema-instance" xsi:type="dcterms:W3CDTF">2026-08-01T17:23:29Z</dcterms:modified>
</cp:coreProperties>
</file>