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âmetros" sheetId="1" state="visible" r:id="rId1"/>
    <sheet xmlns:r="http://schemas.openxmlformats.org/officeDocument/2006/relationships" name="Frete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1" hidden="1">'Fretes'!$A$1:$AA$11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.##0,00"/>
    <numFmt numFmtId="165" formatCode="&quot;R$&quot; #.##0,00"/>
    <numFmt numFmtId="166" formatCode="0,0%"/>
    <numFmt numFmtId="167" formatCode="DD/MM/YYYY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i val="1"/>
      <color rgb="006B7280"/>
      <sz val="10"/>
    </font>
    <font>
      <name val="Calibri"/>
      <b val="1"/>
      <color rgb="0016A34A"/>
      <sz val="12"/>
    </font>
    <font>
      <name val="Calibri"/>
      <b val="1"/>
      <color rgb="00DC2626"/>
      <sz val="12"/>
    </font>
  </fonts>
  <fills count="8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10B981"/>
      </patternFill>
    </fill>
    <fill>
      <patternFill patternType="solid">
        <fgColor rgb="00FFFBEB"/>
      </patternFill>
    </fill>
    <fill>
      <patternFill patternType="solid">
        <fgColor rgb="00EFF6FF"/>
      </patternFill>
    </fill>
    <fill>
      <patternFill patternType="solid">
        <fgColor rgb="00F0FDF4"/>
      </patternFill>
    </fill>
    <fill>
      <patternFill patternType="solid">
        <fgColor rgb="00FEF2F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166" fontId="3" fillId="4" borderId="1" pivotButton="0" quotePrefix="0" xfId="0"/>
    <xf numFmtId="0" fontId="4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167" fontId="3" fillId="5" borderId="1" pivotButton="0" quotePrefix="0" xfId="0"/>
    <xf numFmtId="0" fontId="3" fillId="5" borderId="1" pivotButton="0" quotePrefix="0" xfId="0"/>
    <xf numFmtId="0" fontId="3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/>
    </xf>
    <xf numFmtId="167" fontId="3" fillId="0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right" vertical="center"/>
    </xf>
    <xf numFmtId="164" fontId="3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0" fontId="0" fillId="0" borderId="4" pivotButton="0" quotePrefix="0" xfId="0"/>
    <xf numFmtId="1" fontId="5" fillId="6" borderId="1" applyAlignment="1" pivotButton="0" quotePrefix="0" xfId="0">
      <alignment horizontal="center" vertical="center"/>
    </xf>
    <xf numFmtId="165" fontId="5" fillId="6" borderId="1" applyAlignment="1" pivotButton="0" quotePrefix="0" xfId="0">
      <alignment horizontal="center" vertical="center"/>
    </xf>
    <xf numFmtId="166" fontId="5" fillId="6" borderId="1" applyAlignment="1" pivotButton="0" quotePrefix="0" xfId="0">
      <alignment horizontal="center" vertical="center"/>
    </xf>
    <xf numFmtId="1" fontId="6" fillId="7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0" fontId="3" fillId="0" borderId="1" applyAlignment="1" pivotButton="0" quotePrefix="0" xfId="0">
      <alignment horizontal="left" vertical="center"/>
    </xf>
    <xf numFmtId="165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5" fontId="3" fillId="0" borderId="1" pivotButton="0" quotePrefix="0" xfId="0"/>
    <xf numFmtId="0" fontId="2" fillId="3" borderId="1" applyAlignment="1" pivotButton="0" quotePrefix="0" xfId="0">
      <alignment horizontal="left" vertical="center"/>
    </xf>
    <xf numFmtId="0" fontId="0" fillId="0" borderId="5" pivotButton="0" quotePrefix="0" xfId="0"/>
    <xf numFmtId="0" fontId="3" fillId="0" borderId="1" applyAlignment="1" pivotButton="0" quotePrefix="0" xfId="0">
      <alignment horizontal="left" vertical="top" wrapText="1"/>
    </xf>
    <xf numFmtId="167" fontId="3" fillId="5" borderId="1" pivotButton="0" quotePrefix="0" xfId="0"/>
    <xf numFmtId="167" fontId="3" fillId="0" borderId="1" pivotButton="0" quotePrefix="0" xfId="0"/>
  </cellXfs>
  <cellStyles count="1">
    <cellStyle name="Normal" xfId="0" builtinId="0" hidden="0"/>
  </cellStyles>
  <dxfs count="1">
    <dxf>
      <font>
        <name val="Calibri"/>
        <b val="1"/>
        <color rgb="00DC2626"/>
        <sz val="12"/>
      </font>
      <fill>
        <patternFill patternType="solid">
          <fgColor rgb="00FEF2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Frete total por transportadora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'Resumo'!C10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'Resumo'!$A$11:$A$14</f>
            </numRef>
          </cat>
          <val>
            <numRef>
              <f>'Resumo'!$C$11:$C$14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das cotações</a:t>
            </a:r>
          </a:p>
        </rich>
      </tx>
    </title>
    <plotArea>
      <pieChart>
        <varyColors val="1"/>
        <ser>
          <idx val="0"/>
          <order val="0"/>
          <tx>
            <strRef>
              <f>'Resumo'!B10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'Resumo'!$A$11:$A$14</f>
            </numRef>
          </cat>
          <val>
            <numRef>
              <f>'Resumo'!$B$11:$B$14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Frete final por cidade de destino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'Resumo'!H10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'Resumo'!$G$11:$G$20</f>
            </numRef>
          </cat>
          <val>
            <numRef>
              <f>'Resumo'!$H$11:$H$20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16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33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2" customWidth="1" min="3" max="3"/>
    <col width="12" customWidth="1" min="4" max="4"/>
    <col width="14" customWidth="1" min="5" max="5"/>
    <col width="16" customWidth="1" min="6" max="6"/>
    <col width="18" customWidth="1" min="8" max="8"/>
    <col width="12" customWidth="1" min="9" max="9"/>
  </cols>
  <sheetData>
    <row r="1" ht="26" customHeight="1">
      <c r="A1" s="1" t="inlineStr">
        <is>
          <t>Tabela de Transportadoras</t>
        </is>
      </c>
      <c r="H1" s="1" t="inlineStr">
        <is>
          <t>Adicionais</t>
        </is>
      </c>
    </row>
    <row r="2">
      <c r="A2" s="2" t="inlineStr">
        <is>
          <t>Transportadora</t>
        </is>
      </c>
      <c r="B2" s="2" t="inlineStr">
        <is>
          <t>Tipo de serviço</t>
        </is>
      </c>
      <c r="C2" s="2" t="inlineStr">
        <is>
          <t>Valor por km</t>
        </is>
      </c>
      <c r="D2" s="2" t="inlineStr">
        <is>
          <t>Valor por kg</t>
        </is>
      </c>
      <c r="E2" s="2" t="inlineStr">
        <is>
          <t>Taxa mínima</t>
        </is>
      </c>
      <c r="F2" s="2" t="inlineStr">
        <is>
          <t>Prazo médio (dias)</t>
        </is>
      </c>
      <c r="H2" s="2" t="inlineStr">
        <is>
          <t>Tipo de adicional</t>
        </is>
      </c>
      <c r="I2" s="2" t="inlineStr">
        <is>
          <t>Percentual</t>
        </is>
      </c>
    </row>
    <row r="3">
      <c r="A3" s="3" t="inlineStr">
        <is>
          <t>Loggi</t>
        </is>
      </c>
      <c r="B3" s="4" t="inlineStr">
        <is>
          <t>Expresso</t>
        </is>
      </c>
      <c r="C3" s="5" t="n">
        <v>1.35</v>
      </c>
      <c r="D3" s="5" t="n">
        <v>0.85</v>
      </c>
      <c r="E3" s="6" t="n">
        <v>18</v>
      </c>
      <c r="F3" s="4" t="n">
        <v>2</v>
      </c>
      <c r="H3" s="7" t="inlineStr">
        <is>
          <t>Combustível</t>
        </is>
      </c>
      <c r="I3" s="8" t="n">
        <v>0.08</v>
      </c>
    </row>
    <row r="4">
      <c r="A4" s="3" t="inlineStr">
        <is>
          <t>Jadlog</t>
        </is>
      </c>
      <c r="B4" s="4" t="inlineStr">
        <is>
          <t>Econômico</t>
        </is>
      </c>
      <c r="C4" s="5" t="n">
        <v>0.95</v>
      </c>
      <c r="D4" s="5" t="n">
        <v>0.62</v>
      </c>
      <c r="E4" s="6" t="n">
        <v>15</v>
      </c>
      <c r="F4" s="4" t="n">
        <v>5</v>
      </c>
      <c r="H4" s="7" t="inlineStr">
        <is>
          <t>Área de risco</t>
        </is>
      </c>
      <c r="I4" s="8" t="n">
        <v>0.12</v>
      </c>
    </row>
    <row r="5">
      <c r="A5" s="3" t="inlineStr">
        <is>
          <t>Azul Cargo</t>
        </is>
      </c>
      <c r="B5" s="4" t="inlineStr">
        <is>
          <t>Aéreo</t>
        </is>
      </c>
      <c r="C5" s="5" t="n">
        <v>1.8</v>
      </c>
      <c r="D5" s="5" t="n">
        <v>1.2</v>
      </c>
      <c r="E5" s="6" t="n">
        <v>28</v>
      </c>
      <c r="F5" s="4" t="n">
        <v>3</v>
      </c>
      <c r="H5" s="7" t="inlineStr">
        <is>
          <t>Pedágio</t>
        </is>
      </c>
      <c r="I5" s="8" t="n">
        <v>0.05</v>
      </c>
    </row>
    <row r="6">
      <c r="A6" s="3" t="inlineStr">
        <is>
          <t>Correios</t>
        </is>
      </c>
      <c r="B6" s="4" t="inlineStr">
        <is>
          <t>PAC</t>
        </is>
      </c>
      <c r="C6" s="5" t="n">
        <v>0.75</v>
      </c>
      <c r="D6" s="5" t="n">
        <v>0.55</v>
      </c>
      <c r="E6" s="6" t="n">
        <v>14</v>
      </c>
      <c r="F6" s="4" t="n">
        <v>7</v>
      </c>
    </row>
    <row r="7">
      <c r="A7" s="3" t="inlineStr">
        <is>
          <t>Correios</t>
        </is>
      </c>
      <c r="B7" s="4" t="inlineStr">
        <is>
          <t>SEDEX</t>
        </is>
      </c>
      <c r="C7" s="5" t="n">
        <v>1.25</v>
      </c>
      <c r="D7" s="5" t="n">
        <v>0.95</v>
      </c>
      <c r="E7" s="6" t="n">
        <v>22</v>
      </c>
      <c r="F7" s="4" t="n">
        <v>3</v>
      </c>
    </row>
    <row r="8">
      <c r="H8" s="9" t="inlineStr">
        <is>
          <t>Observação: os valores podem ser ajustados conforme contrato e região.</t>
        </is>
      </c>
    </row>
    <row r="9">
      <c r="A9" s="9" t="inlineStr">
        <is>
          <t>Células em amarelo-claro são editáveis.</t>
        </is>
      </c>
    </row>
  </sheetData>
  <mergeCells count="2">
    <mergeCell ref="A1:F1"/>
    <mergeCell ref="H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16" customWidth="1" min="4" max="4"/>
    <col width="9" customWidth="1" min="5" max="5"/>
    <col width="16" customWidth="1" min="6" max="6"/>
    <col width="9" customWidth="1" min="7" max="7"/>
    <col width="15" customWidth="1" min="8" max="8"/>
    <col width="14" customWidth="1" min="9" max="9"/>
    <col width="12" customWidth="1" min="10" max="10"/>
    <col width="12" customWidth="1" min="11" max="11"/>
    <col width="13" customWidth="1" min="12" max="12"/>
    <col width="11" customWidth="1" min="13" max="13"/>
    <col width="10" customWidth="1" min="14" max="14"/>
    <col width="13" customWidth="1" min="15" max="15"/>
    <col width="14" customWidth="1" min="16" max="16"/>
    <col width="15" customWidth="1" min="17" max="17"/>
    <col width="12" customWidth="1" min="18" max="18"/>
    <col width="12" customWidth="1" min="19" max="19"/>
    <col width="10" customWidth="1" min="20" max="20"/>
    <col width="13" customWidth="1" min="21" max="21"/>
    <col width="14" customWidth="1" min="22" max="22"/>
    <col width="13" customWidth="1" min="23" max="23"/>
    <col width="13" customWidth="1" min="24" max="24"/>
    <col width="13" customWidth="1" min="25" max="25"/>
    <col width="10" customWidth="1" min="26" max="26"/>
    <col width="11" customWidth="1" min="27" max="27"/>
  </cols>
  <sheetData>
    <row r="1" ht="42" customHeight="1">
      <c r="A1" s="10" t="inlineStr">
        <is>
          <t>ID do pedido</t>
        </is>
      </c>
      <c r="B1" s="10" t="inlineStr">
        <is>
          <t>Data da cotação</t>
        </is>
      </c>
      <c r="C1" s="10" t="inlineStr">
        <is>
          <t>Cliente</t>
        </is>
      </c>
      <c r="D1" s="10" t="inlineStr">
        <is>
          <t>Cidade de origem</t>
        </is>
      </c>
      <c r="E1" s="10" t="inlineStr">
        <is>
          <t>UF origem</t>
        </is>
      </c>
      <c r="F1" s="10" t="inlineStr">
        <is>
          <t>Cidade de destino</t>
        </is>
      </c>
      <c r="G1" s="10" t="inlineStr">
        <is>
          <t>UF destino</t>
        </is>
      </c>
      <c r="H1" s="10" t="inlineStr">
        <is>
          <t>Transportadora</t>
        </is>
      </c>
      <c r="I1" s="10" t="inlineStr">
        <is>
          <t>Tipo de serviço</t>
        </is>
      </c>
      <c r="J1" s="10" t="inlineStr">
        <is>
          <t>Distância (km)</t>
        </is>
      </c>
      <c r="K1" s="10" t="inlineStr">
        <is>
          <t>Peso real (kg)</t>
        </is>
      </c>
      <c r="L1" s="10" t="inlineStr">
        <is>
          <t>Comprimento (cm)</t>
        </is>
      </c>
      <c r="M1" s="10" t="inlineStr">
        <is>
          <t>Largura (cm)</t>
        </is>
      </c>
      <c r="N1" s="10" t="inlineStr">
        <is>
          <t>Altura (cm)</t>
        </is>
      </c>
      <c r="O1" s="10" t="inlineStr">
        <is>
          <t>Peso cubado (kg)</t>
        </is>
      </c>
      <c r="P1" s="10" t="inlineStr">
        <is>
          <t>Peso considerado (kg)</t>
        </is>
      </c>
      <c r="Q1" s="10" t="inlineStr">
        <is>
          <t>Valor dos produtos</t>
        </is>
      </c>
      <c r="R1" s="10" t="inlineStr">
        <is>
          <t>Adicional combustível (%)</t>
        </is>
      </c>
      <c r="S1" s="10" t="inlineStr">
        <is>
          <t>Adicional área de risco (%)</t>
        </is>
      </c>
      <c r="T1" s="10" t="inlineStr">
        <is>
          <t>Desconto (%)</t>
        </is>
      </c>
      <c r="U1" s="10" t="inlineStr">
        <is>
          <t>Frete base</t>
        </is>
      </c>
      <c r="V1" s="10" t="inlineStr">
        <is>
          <t>Valor dos adicionais</t>
        </is>
      </c>
      <c r="W1" s="10" t="inlineStr">
        <is>
          <t>Desconto em R$</t>
        </is>
      </c>
      <c r="X1" s="10" t="inlineStr">
        <is>
          <t>Frete final</t>
        </is>
      </c>
      <c r="Y1" s="10" t="inlineStr">
        <is>
          <t>Frete sobre o pedido (%)</t>
        </is>
      </c>
      <c r="Z1" s="10" t="inlineStr">
        <is>
          <t>Prazo estimado (dias)</t>
        </is>
      </c>
      <c r="AA1" s="10" t="inlineStr">
        <is>
          <t>Status</t>
        </is>
      </c>
    </row>
    <row r="2">
      <c r="A2" s="11" t="inlineStr">
        <is>
          <t>PED-1001</t>
        </is>
      </c>
      <c r="B2" s="41" t="n">
        <v>46027</v>
      </c>
      <c r="C2" s="13" t="inlineStr">
        <is>
          <t>João Silva</t>
        </is>
      </c>
      <c r="D2" s="13" t="inlineStr">
        <is>
          <t>São Paulo</t>
        </is>
      </c>
      <c r="E2" s="11" t="inlineStr">
        <is>
          <t>SP</t>
        </is>
      </c>
      <c r="F2" s="13" t="inlineStr">
        <is>
          <t>Rio de Janeiro</t>
        </is>
      </c>
      <c r="G2" s="11" t="inlineStr">
        <is>
          <t>RJ</t>
        </is>
      </c>
      <c r="H2" s="11" t="inlineStr">
        <is>
          <t>Correios</t>
        </is>
      </c>
      <c r="I2" s="11">
        <f>IFERROR(VLOOKUP(H2,Parâmetros!$A$3:$F$7,2,FALSE),"Não encontrado")</f>
        <v/>
      </c>
      <c r="J2" s="14" t="n">
        <v>430</v>
      </c>
      <c r="K2" s="15" t="n">
        <v>3.2</v>
      </c>
      <c r="L2" s="14" t="n">
        <v>30</v>
      </c>
      <c r="M2" s="14" t="n">
        <v>25</v>
      </c>
      <c r="N2" s="14" t="n">
        <v>20</v>
      </c>
      <c r="O2" s="15">
        <f>L2*M2*N2/6000</f>
        <v/>
      </c>
      <c r="P2" s="15">
        <f>IF(O2&gt;K2,O2,K2)</f>
        <v/>
      </c>
      <c r="Q2" s="16" t="n">
        <v>850</v>
      </c>
      <c r="R2" s="17">
        <f>IFERROR(VLOOKUP("Combustível",Parâmetros!$H$3:$I$5,2,FALSE),0)</f>
        <v/>
      </c>
      <c r="S2" s="17">
        <f>IF(OR(F2="Rio de Janeiro",F2="Salvador"),IFERROR(VLOOKUP("Área de risco",Parâmetros!$H$3:$I$5,2,FALSE),0),0)</f>
        <v/>
      </c>
      <c r="T2" s="17" t="n">
        <v>0</v>
      </c>
      <c r="U2" s="16">
        <f>IFERROR(MAX(VLOOKUP(H2,Parâmetros!$A$3:$F$7,5,FALSE),J2*VLOOKUP(H2,Parâmetros!$A$3:$F$7,3,FALSE)+P2*VLOOKUP(H2,Parâmetros!$A$3:$F$7,4,FALSE)),0)</f>
        <v/>
      </c>
      <c r="V2" s="16">
        <f>U2*(R2+S2)</f>
        <v/>
      </c>
      <c r="W2" s="16">
        <f>(U2+V2)*T2</f>
        <v/>
      </c>
      <c r="X2" s="16">
        <f>U2+V2-W2</f>
        <v/>
      </c>
      <c r="Y2" s="17">
        <f>IFERROR(X2/Q2,0)</f>
        <v/>
      </c>
      <c r="Z2" s="11">
        <f>IFERROR(VLOOKUP(H2,Parâmetros!$A$3:$F$7,6,FALSE),"")</f>
        <v/>
      </c>
      <c r="AA2" s="11">
        <f>IF(X2=0,"Revisar",IF(Y2&gt;0.2,"Frete alto","Cotado"))</f>
        <v/>
      </c>
    </row>
    <row r="3">
      <c r="A3" s="18" t="inlineStr">
        <is>
          <t>PED-1002</t>
        </is>
      </c>
      <c r="B3" s="42" t="n">
        <v>46029</v>
      </c>
      <c r="C3" s="20" t="inlineStr">
        <is>
          <t>Maria Oliveira</t>
        </is>
      </c>
      <c r="D3" s="20" t="inlineStr">
        <is>
          <t>São Paulo</t>
        </is>
      </c>
      <c r="E3" s="18" t="inlineStr">
        <is>
          <t>SP</t>
        </is>
      </c>
      <c r="F3" s="20" t="inlineStr">
        <is>
          <t>Belo Horizonte</t>
        </is>
      </c>
      <c r="G3" s="18" t="inlineStr">
        <is>
          <t>MG</t>
        </is>
      </c>
      <c r="H3" s="18" t="inlineStr">
        <is>
          <t>Jadlog</t>
        </is>
      </c>
      <c r="I3" s="18">
        <f>IFERROR(VLOOKUP(H3,Parâmetros!$A$3:$F$7,2,FALSE),"Não encontrado")</f>
        <v/>
      </c>
      <c r="J3" s="21" t="n">
        <v>585</v>
      </c>
      <c r="K3" s="22" t="n">
        <v>8.5</v>
      </c>
      <c r="L3" s="21" t="n">
        <v>45</v>
      </c>
      <c r="M3" s="21" t="n">
        <v>35</v>
      </c>
      <c r="N3" s="21" t="n">
        <v>30</v>
      </c>
      <c r="O3" s="22">
        <f>L3*M3*N3/6000</f>
        <v/>
      </c>
      <c r="P3" s="22">
        <f>IF(O3&gt;K3,O3,K3)</f>
        <v/>
      </c>
      <c r="Q3" s="23" t="n">
        <v>480</v>
      </c>
      <c r="R3" s="24">
        <f>IFERROR(VLOOKUP("Combustível",Parâmetros!$H$3:$I$5,2,FALSE),0)</f>
        <v/>
      </c>
      <c r="S3" s="24">
        <f>IF(OR(F3="Rio de Janeiro",F3="Salvador"),IFERROR(VLOOKUP("Área de risco",Parâmetros!$H$3:$I$5,2,FALSE),0),0)</f>
        <v/>
      </c>
      <c r="T3" s="24" t="n">
        <v>0.03</v>
      </c>
      <c r="U3" s="23">
        <f>IFERROR(MAX(VLOOKUP(H3,Parâmetros!$A$3:$F$7,5,FALSE),J3*VLOOKUP(H3,Parâmetros!$A$3:$F$7,3,FALSE)+P3*VLOOKUP(H3,Parâmetros!$A$3:$F$7,4,FALSE)),0)</f>
        <v/>
      </c>
      <c r="V3" s="23">
        <f>U3*(R3+S3)</f>
        <v/>
      </c>
      <c r="W3" s="23">
        <f>(U3+V3)*T3</f>
        <v/>
      </c>
      <c r="X3" s="23">
        <f>U3+V3-W3</f>
        <v/>
      </c>
      <c r="Y3" s="24">
        <f>IFERROR(X3/Q3,0)</f>
        <v/>
      </c>
      <c r="Z3" s="18">
        <f>IFERROR(VLOOKUP(H3,Parâmetros!$A$3:$F$7,6,FALSE),"")</f>
        <v/>
      </c>
      <c r="AA3" s="18">
        <f>IF(X3=0,"Revisar",IF(Y3&gt;0.2,"Frete alto","Cotado"))</f>
        <v/>
      </c>
    </row>
    <row r="4">
      <c r="A4" s="11" t="inlineStr">
        <is>
          <t>PED-1003</t>
        </is>
      </c>
      <c r="B4" s="41" t="n">
        <v>46031</v>
      </c>
      <c r="C4" s="13" t="inlineStr">
        <is>
          <t>Pedro Santos</t>
        </is>
      </c>
      <c r="D4" s="13" t="inlineStr">
        <is>
          <t>Campinas</t>
        </is>
      </c>
      <c r="E4" s="11" t="inlineStr">
        <is>
          <t>SP</t>
        </is>
      </c>
      <c r="F4" s="13" t="inlineStr">
        <is>
          <t>Curitiba</t>
        </is>
      </c>
      <c r="G4" s="11" t="inlineStr">
        <is>
          <t>PR</t>
        </is>
      </c>
      <c r="H4" s="11" t="inlineStr">
        <is>
          <t>Loggi</t>
        </is>
      </c>
      <c r="I4" s="11">
        <f>IFERROR(VLOOKUP(H4,Parâmetros!$A$3:$F$7,2,FALSE),"Não encontrado")</f>
        <v/>
      </c>
      <c r="J4" s="14" t="n">
        <v>410</v>
      </c>
      <c r="K4" s="15" t="n">
        <v>2</v>
      </c>
      <c r="L4" s="14" t="n">
        <v>25</v>
      </c>
      <c r="M4" s="14" t="n">
        <v>20</v>
      </c>
      <c r="N4" s="14" t="n">
        <v>15</v>
      </c>
      <c r="O4" s="15">
        <f>L4*M4*N4/6000</f>
        <v/>
      </c>
      <c r="P4" s="15">
        <f>IF(O4&gt;K4,O4,K4)</f>
        <v/>
      </c>
      <c r="Q4" s="16" t="n">
        <v>180</v>
      </c>
      <c r="R4" s="17">
        <f>IFERROR(VLOOKUP("Combustível",Parâmetros!$H$3:$I$5,2,FALSE),0)</f>
        <v/>
      </c>
      <c r="S4" s="17">
        <f>IF(OR(F4="Rio de Janeiro",F4="Salvador"),IFERROR(VLOOKUP("Área de risco",Parâmetros!$H$3:$I$5,2,FALSE),0),0)</f>
        <v/>
      </c>
      <c r="T4" s="17" t="n">
        <v>0</v>
      </c>
      <c r="U4" s="16">
        <f>IFERROR(MAX(VLOOKUP(H4,Parâmetros!$A$3:$F$7,5,FALSE),J4*VLOOKUP(H4,Parâmetros!$A$3:$F$7,3,FALSE)+P4*VLOOKUP(H4,Parâmetros!$A$3:$F$7,4,FALSE)),0)</f>
        <v/>
      </c>
      <c r="V4" s="16">
        <f>U4*(R4+S4)</f>
        <v/>
      </c>
      <c r="W4" s="16">
        <f>(U4+V4)*T4</f>
        <v/>
      </c>
      <c r="X4" s="16">
        <f>U4+V4-W4</f>
        <v/>
      </c>
      <c r="Y4" s="17">
        <f>IFERROR(X4/Q4,0)</f>
        <v/>
      </c>
      <c r="Z4" s="11">
        <f>IFERROR(VLOOKUP(H4,Parâmetros!$A$3:$F$7,6,FALSE),"")</f>
        <v/>
      </c>
      <c r="AA4" s="11">
        <f>IF(X4=0,"Revisar",IF(Y4&gt;0.2,"Frete alto","Cotado"))</f>
        <v/>
      </c>
    </row>
    <row r="5">
      <c r="A5" s="18" t="inlineStr">
        <is>
          <t>PED-1004</t>
        </is>
      </c>
      <c r="B5" s="42" t="n">
        <v>46033</v>
      </c>
      <c r="C5" s="20" t="inlineStr">
        <is>
          <t>Ana Souza</t>
        </is>
      </c>
      <c r="D5" s="20" t="inlineStr">
        <is>
          <t>São Paulo</t>
        </is>
      </c>
      <c r="E5" s="18" t="inlineStr">
        <is>
          <t>SP</t>
        </is>
      </c>
      <c r="F5" s="20" t="inlineStr">
        <is>
          <t>Porto Alegre</t>
        </is>
      </c>
      <c r="G5" s="18" t="inlineStr">
        <is>
          <t>RS</t>
        </is>
      </c>
      <c r="H5" s="18" t="inlineStr">
        <is>
          <t>Azul Cargo</t>
        </is>
      </c>
      <c r="I5" s="18">
        <f>IFERROR(VLOOKUP(H5,Parâmetros!$A$3:$F$7,2,FALSE),"Não encontrado")</f>
        <v/>
      </c>
      <c r="J5" s="21" t="n">
        <v>1110</v>
      </c>
      <c r="K5" s="22" t="n">
        <v>15</v>
      </c>
      <c r="L5" s="21" t="n">
        <v>60</v>
      </c>
      <c r="M5" s="21" t="n">
        <v>45</v>
      </c>
      <c r="N5" s="21" t="n">
        <v>40</v>
      </c>
      <c r="O5" s="22">
        <f>L5*M5*N5/6000</f>
        <v/>
      </c>
      <c r="P5" s="22">
        <f>IF(O5&gt;K5,O5,K5)</f>
        <v/>
      </c>
      <c r="Q5" s="23" t="n">
        <v>2200</v>
      </c>
      <c r="R5" s="24">
        <f>IFERROR(VLOOKUP("Combustível",Parâmetros!$H$3:$I$5,2,FALSE),0)</f>
        <v/>
      </c>
      <c r="S5" s="24">
        <f>IF(OR(F5="Rio de Janeiro",F5="Salvador"),IFERROR(VLOOKUP("Área de risco",Parâmetros!$H$3:$I$5,2,FALSE),0),0)</f>
        <v/>
      </c>
      <c r="T5" s="24" t="n">
        <v>0.05</v>
      </c>
      <c r="U5" s="23">
        <f>IFERROR(MAX(VLOOKUP(H5,Parâmetros!$A$3:$F$7,5,FALSE),J5*VLOOKUP(H5,Parâmetros!$A$3:$F$7,3,FALSE)+P5*VLOOKUP(H5,Parâmetros!$A$3:$F$7,4,FALSE)),0)</f>
        <v/>
      </c>
      <c r="V5" s="23">
        <f>U5*(R5+S5)</f>
        <v/>
      </c>
      <c r="W5" s="23">
        <f>(U5+V5)*T5</f>
        <v/>
      </c>
      <c r="X5" s="23">
        <f>U5+V5-W5</f>
        <v/>
      </c>
      <c r="Y5" s="24">
        <f>IFERROR(X5/Q5,0)</f>
        <v/>
      </c>
      <c r="Z5" s="18">
        <f>IFERROR(VLOOKUP(H5,Parâmetros!$A$3:$F$7,6,FALSE),"")</f>
        <v/>
      </c>
      <c r="AA5" s="18">
        <f>IF(X5=0,"Revisar",IF(Y5&gt;0.2,"Frete alto","Cotado"))</f>
        <v/>
      </c>
    </row>
    <row r="6">
      <c r="A6" s="11" t="inlineStr">
        <is>
          <t>PED-1005</t>
        </is>
      </c>
      <c r="B6" s="41" t="n">
        <v>46035</v>
      </c>
      <c r="C6" s="13" t="inlineStr">
        <is>
          <t>Carlos Pereira</t>
        </is>
      </c>
      <c r="D6" s="13" t="inlineStr">
        <is>
          <t>São Paulo</t>
        </is>
      </c>
      <c r="E6" s="11" t="inlineStr">
        <is>
          <t>SP</t>
        </is>
      </c>
      <c r="F6" s="13" t="inlineStr">
        <is>
          <t>Salvador</t>
        </is>
      </c>
      <c r="G6" s="11" t="inlineStr">
        <is>
          <t>BA</t>
        </is>
      </c>
      <c r="H6" s="11" t="inlineStr">
        <is>
          <t>Correios</t>
        </is>
      </c>
      <c r="I6" s="11">
        <f>IFERROR(VLOOKUP(H6,Parâmetros!$A$3:$F$7,2,FALSE),"Não encontrado")</f>
        <v/>
      </c>
      <c r="J6" s="14" t="n">
        <v>1960</v>
      </c>
      <c r="K6" s="15" t="n">
        <v>5.5</v>
      </c>
      <c r="L6" s="14" t="n">
        <v>40</v>
      </c>
      <c r="M6" s="14" t="n">
        <v>30</v>
      </c>
      <c r="N6" s="14" t="n">
        <v>25</v>
      </c>
      <c r="O6" s="15">
        <f>L6*M6*N6/6000</f>
        <v/>
      </c>
      <c r="P6" s="15">
        <f>IF(O6&gt;K6,O6,K6)</f>
        <v/>
      </c>
      <c r="Q6" s="16" t="n">
        <v>950</v>
      </c>
      <c r="R6" s="17">
        <f>IFERROR(VLOOKUP("Combustível",Parâmetros!$H$3:$I$5,2,FALSE),0)</f>
        <v/>
      </c>
      <c r="S6" s="17">
        <f>IF(OR(F6="Rio de Janeiro",F6="Salvador"),IFERROR(VLOOKUP("Área de risco",Parâmetros!$H$3:$I$5,2,FALSE),0),0)</f>
        <v/>
      </c>
      <c r="T6" s="17" t="n">
        <v>0.02</v>
      </c>
      <c r="U6" s="16">
        <f>IFERROR(MAX(VLOOKUP(H6,Parâmetros!$A$3:$F$7,5,FALSE),J6*VLOOKUP(H6,Parâmetros!$A$3:$F$7,3,FALSE)+P6*VLOOKUP(H6,Parâmetros!$A$3:$F$7,4,FALSE)),0)</f>
        <v/>
      </c>
      <c r="V6" s="16">
        <f>U6*(R6+S6)</f>
        <v/>
      </c>
      <c r="W6" s="16">
        <f>(U6+V6)*T6</f>
        <v/>
      </c>
      <c r="X6" s="16">
        <f>U6+V6-W6</f>
        <v/>
      </c>
      <c r="Y6" s="17">
        <f>IFERROR(X6/Q6,0)</f>
        <v/>
      </c>
      <c r="Z6" s="11">
        <f>IFERROR(VLOOKUP(H6,Parâmetros!$A$3:$F$7,6,FALSE),"")</f>
        <v/>
      </c>
      <c r="AA6" s="11">
        <f>IF(X6=0,"Revisar",IF(Y6&gt;0.2,"Frete alto","Cotado"))</f>
        <v/>
      </c>
    </row>
    <row r="7">
      <c r="A7" s="18" t="inlineStr">
        <is>
          <t>PED-1006</t>
        </is>
      </c>
      <c r="B7" s="42" t="n">
        <v>46037</v>
      </c>
      <c r="C7" s="20" t="inlineStr">
        <is>
          <t>Juliana Costa</t>
        </is>
      </c>
      <c r="D7" s="20" t="inlineStr">
        <is>
          <t>São Paulo</t>
        </is>
      </c>
      <c r="E7" s="18" t="inlineStr">
        <is>
          <t>SP</t>
        </is>
      </c>
      <c r="F7" s="20" t="inlineStr">
        <is>
          <t>Recife</t>
        </is>
      </c>
      <c r="G7" s="18" t="inlineStr">
        <is>
          <t>PE</t>
        </is>
      </c>
      <c r="H7" s="18" t="inlineStr">
        <is>
          <t>Jadlog</t>
        </is>
      </c>
      <c r="I7" s="18">
        <f>IFERROR(VLOOKUP(H7,Parâmetros!$A$3:$F$7,2,FALSE),"Não encontrado")</f>
        <v/>
      </c>
      <c r="J7" s="21" t="n">
        <v>2660</v>
      </c>
      <c r="K7" s="22" t="n">
        <v>22</v>
      </c>
      <c r="L7" s="21" t="n">
        <v>70</v>
      </c>
      <c r="M7" s="21" t="n">
        <v>50</v>
      </c>
      <c r="N7" s="21" t="n">
        <v>45</v>
      </c>
      <c r="O7" s="22">
        <f>L7*M7*N7/6000</f>
        <v/>
      </c>
      <c r="P7" s="22">
        <f>IF(O7&gt;K7,O7,K7)</f>
        <v/>
      </c>
      <c r="Q7" s="23" t="n">
        <v>4800</v>
      </c>
      <c r="R7" s="24">
        <f>IFERROR(VLOOKUP("Combustível",Parâmetros!$H$3:$I$5,2,FALSE),0)</f>
        <v/>
      </c>
      <c r="S7" s="24">
        <f>IF(OR(F7="Rio de Janeiro",F7="Salvador"),IFERROR(VLOOKUP("Área de risco",Parâmetros!$H$3:$I$5,2,FALSE),0),0)</f>
        <v/>
      </c>
      <c r="T7" s="24" t="n">
        <v>0.08</v>
      </c>
      <c r="U7" s="23">
        <f>IFERROR(MAX(VLOOKUP(H7,Parâmetros!$A$3:$F$7,5,FALSE),J7*VLOOKUP(H7,Parâmetros!$A$3:$F$7,3,FALSE)+P7*VLOOKUP(H7,Parâmetros!$A$3:$F$7,4,FALSE)),0)</f>
        <v/>
      </c>
      <c r="V7" s="23">
        <f>U7*(R7+S7)</f>
        <v/>
      </c>
      <c r="W7" s="23">
        <f>(U7+V7)*T7</f>
        <v/>
      </c>
      <c r="X7" s="23">
        <f>U7+V7-W7</f>
        <v/>
      </c>
      <c r="Y7" s="24">
        <f>IFERROR(X7/Q7,0)</f>
        <v/>
      </c>
      <c r="Z7" s="18">
        <f>IFERROR(VLOOKUP(H7,Parâmetros!$A$3:$F$7,6,FALSE),"")</f>
        <v/>
      </c>
      <c r="AA7" s="18">
        <f>IF(X7=0,"Revisar",IF(Y7&gt;0.2,"Frete alto","Cotado"))</f>
        <v/>
      </c>
    </row>
    <row r="8">
      <c r="A8" s="11" t="inlineStr">
        <is>
          <t>PED-1007</t>
        </is>
      </c>
      <c r="B8" s="41" t="n">
        <v>46039</v>
      </c>
      <c r="C8" s="13" t="inlineStr">
        <is>
          <t>Rafael Almeida</t>
        </is>
      </c>
      <c r="D8" s="13" t="inlineStr">
        <is>
          <t>Campinas</t>
        </is>
      </c>
      <c r="E8" s="11" t="inlineStr">
        <is>
          <t>SP</t>
        </is>
      </c>
      <c r="F8" s="13" t="inlineStr">
        <is>
          <t>Brasília</t>
        </is>
      </c>
      <c r="G8" s="11" t="inlineStr">
        <is>
          <t>DF</t>
        </is>
      </c>
      <c r="H8" s="11" t="inlineStr">
        <is>
          <t>Correios</t>
        </is>
      </c>
      <c r="I8" s="11">
        <f>IFERROR(VLOOKUP(H8,Parâmetros!$A$3:$F$7,2,FALSE),"Não encontrado")</f>
        <v/>
      </c>
      <c r="J8" s="14" t="n">
        <v>1010</v>
      </c>
      <c r="K8" s="15" t="n">
        <v>1.5</v>
      </c>
      <c r="L8" s="14" t="n">
        <v>20</v>
      </c>
      <c r="M8" s="14" t="n">
        <v>15</v>
      </c>
      <c r="N8" s="14" t="n">
        <v>12</v>
      </c>
      <c r="O8" s="15">
        <f>L8*M8*N8/6000</f>
        <v/>
      </c>
      <c r="P8" s="15">
        <f>IF(O8&gt;K8,O8,K8)</f>
        <v/>
      </c>
      <c r="Q8" s="16" t="n">
        <v>320</v>
      </c>
      <c r="R8" s="17">
        <f>IFERROR(VLOOKUP("Combustível",Parâmetros!$H$3:$I$5,2,FALSE),0)</f>
        <v/>
      </c>
      <c r="S8" s="17">
        <f>IF(OR(F8="Rio de Janeiro",F8="Salvador"),IFERROR(VLOOKUP("Área de risco",Parâmetros!$H$3:$I$5,2,FALSE),0),0)</f>
        <v/>
      </c>
      <c r="T8" s="17" t="n">
        <v>0</v>
      </c>
      <c r="U8" s="16">
        <f>IFERROR(MAX(VLOOKUP(H8,Parâmetros!$A$3:$F$7,5,FALSE),J8*VLOOKUP(H8,Parâmetros!$A$3:$F$7,3,FALSE)+P8*VLOOKUP(H8,Parâmetros!$A$3:$F$7,4,FALSE)),0)</f>
        <v/>
      </c>
      <c r="V8" s="16">
        <f>U8*(R8+S8)</f>
        <v/>
      </c>
      <c r="W8" s="16">
        <f>(U8+V8)*T8</f>
        <v/>
      </c>
      <c r="X8" s="16">
        <f>U8+V8-W8</f>
        <v/>
      </c>
      <c r="Y8" s="17">
        <f>IFERROR(X8/Q8,0)</f>
        <v/>
      </c>
      <c r="Z8" s="11">
        <f>IFERROR(VLOOKUP(H8,Parâmetros!$A$3:$F$7,6,FALSE),"")</f>
        <v/>
      </c>
      <c r="AA8" s="11">
        <f>IF(X8=0,"Revisar",IF(Y8&gt;0.2,"Frete alto","Cotado"))</f>
        <v/>
      </c>
    </row>
    <row r="9">
      <c r="A9" s="18" t="inlineStr">
        <is>
          <t>PED-1008</t>
        </is>
      </c>
      <c r="B9" s="42" t="n">
        <v>46041</v>
      </c>
      <c r="C9" s="20" t="inlineStr">
        <is>
          <t>Camila Ferreira</t>
        </is>
      </c>
      <c r="D9" s="20" t="inlineStr">
        <is>
          <t>São Paulo</t>
        </is>
      </c>
      <c r="E9" s="18" t="inlineStr">
        <is>
          <t>SP</t>
        </is>
      </c>
      <c r="F9" s="20" t="inlineStr">
        <is>
          <t>Rio de Janeiro</t>
        </is>
      </c>
      <c r="G9" s="18" t="inlineStr">
        <is>
          <t>RJ</t>
        </is>
      </c>
      <c r="H9" s="18" t="inlineStr">
        <is>
          <t>Loggi</t>
        </is>
      </c>
      <c r="I9" s="18">
        <f>IFERROR(VLOOKUP(H9,Parâmetros!$A$3:$F$7,2,FALSE),"Não encontrado")</f>
        <v/>
      </c>
      <c r="J9" s="21" t="n">
        <v>430</v>
      </c>
      <c r="K9" s="22" t="n">
        <v>4.8</v>
      </c>
      <c r="L9" s="21" t="n">
        <v>35</v>
      </c>
      <c r="M9" s="21" t="n">
        <v>28</v>
      </c>
      <c r="N9" s="21" t="n">
        <v>22</v>
      </c>
      <c r="O9" s="22">
        <f>L9*M9*N9/6000</f>
        <v/>
      </c>
      <c r="P9" s="22">
        <f>IF(O9&gt;K9,O9,K9)</f>
        <v/>
      </c>
      <c r="Q9" s="23" t="n">
        <v>260</v>
      </c>
      <c r="R9" s="24">
        <f>IFERROR(VLOOKUP("Combustível",Parâmetros!$H$3:$I$5,2,FALSE),0)</f>
        <v/>
      </c>
      <c r="S9" s="24">
        <f>IF(OR(F9="Rio de Janeiro",F9="Salvador"),IFERROR(VLOOKUP("Área de risco",Parâmetros!$H$3:$I$5,2,FALSE),0),0)</f>
        <v/>
      </c>
      <c r="T9" s="24" t="n">
        <v>0</v>
      </c>
      <c r="U9" s="23">
        <f>IFERROR(MAX(VLOOKUP(H9,Parâmetros!$A$3:$F$7,5,FALSE),J9*VLOOKUP(H9,Parâmetros!$A$3:$F$7,3,FALSE)+P9*VLOOKUP(H9,Parâmetros!$A$3:$F$7,4,FALSE)),0)</f>
        <v/>
      </c>
      <c r="V9" s="23">
        <f>U9*(R9+S9)</f>
        <v/>
      </c>
      <c r="W9" s="23">
        <f>(U9+V9)*T9</f>
        <v/>
      </c>
      <c r="X9" s="23">
        <f>U9+V9-W9</f>
        <v/>
      </c>
      <c r="Y9" s="24">
        <f>IFERROR(X9/Q9,0)</f>
        <v/>
      </c>
      <c r="Z9" s="18">
        <f>IFERROR(VLOOKUP(H9,Parâmetros!$A$3:$F$7,6,FALSE),"")</f>
        <v/>
      </c>
      <c r="AA9" s="18">
        <f>IF(X9=0,"Revisar",IF(Y9&gt;0.2,"Frete alto","Cotado"))</f>
        <v/>
      </c>
    </row>
    <row r="10">
      <c r="A10" s="11" t="inlineStr">
        <is>
          <t>PED-1009</t>
        </is>
      </c>
      <c r="B10" s="41" t="n">
        <v>46044</v>
      </c>
      <c r="C10" s="13" t="inlineStr">
        <is>
          <t>Lucas Rodrigues</t>
        </is>
      </c>
      <c r="D10" s="13" t="inlineStr">
        <is>
          <t>Belo Horizonte</t>
        </is>
      </c>
      <c r="E10" s="11" t="inlineStr">
        <is>
          <t>MG</t>
        </is>
      </c>
      <c r="F10" s="13" t="inlineStr">
        <is>
          <t>São Paulo</t>
        </is>
      </c>
      <c r="G10" s="11" t="inlineStr">
        <is>
          <t>SP</t>
        </is>
      </c>
      <c r="H10" s="11" t="inlineStr">
        <is>
          <t>Azul Cargo</t>
        </is>
      </c>
      <c r="I10" s="11">
        <f>IFERROR(VLOOKUP(H10,Parâmetros!$A$3:$F$7,2,FALSE),"Não encontrado")</f>
        <v/>
      </c>
      <c r="J10" s="14" t="n">
        <v>585</v>
      </c>
      <c r="K10" s="15" t="n">
        <v>35</v>
      </c>
      <c r="L10" s="14" t="n">
        <v>80</v>
      </c>
      <c r="M10" s="14" t="n">
        <v>60</v>
      </c>
      <c r="N10" s="14" t="n">
        <v>55</v>
      </c>
      <c r="O10" s="15">
        <f>L10*M10*N10/6000</f>
        <v/>
      </c>
      <c r="P10" s="15">
        <f>IF(O10&gt;K10,O10,K10)</f>
        <v/>
      </c>
      <c r="Q10" s="16" t="n">
        <v>3900</v>
      </c>
      <c r="R10" s="17">
        <f>IFERROR(VLOOKUP("Combustível",Parâmetros!$H$3:$I$5,2,FALSE),0)</f>
        <v/>
      </c>
      <c r="S10" s="17">
        <f>IF(OR(F10="Rio de Janeiro",F10="Salvador"),IFERROR(VLOOKUP("Área de risco",Parâmetros!$H$3:$I$5,2,FALSE),0),0)</f>
        <v/>
      </c>
      <c r="T10" s="17" t="n">
        <v>0.06</v>
      </c>
      <c r="U10" s="16">
        <f>IFERROR(MAX(VLOOKUP(H10,Parâmetros!$A$3:$F$7,5,FALSE),J10*VLOOKUP(H10,Parâmetros!$A$3:$F$7,3,FALSE)+P10*VLOOKUP(H10,Parâmetros!$A$3:$F$7,4,FALSE)),0)</f>
        <v/>
      </c>
      <c r="V10" s="16">
        <f>U10*(R10+S10)</f>
        <v/>
      </c>
      <c r="W10" s="16">
        <f>(U10+V10)*T10</f>
        <v/>
      </c>
      <c r="X10" s="16">
        <f>U10+V10-W10</f>
        <v/>
      </c>
      <c r="Y10" s="17">
        <f>IFERROR(X10/Q10,0)</f>
        <v/>
      </c>
      <c r="Z10" s="11">
        <f>IFERROR(VLOOKUP(H10,Parâmetros!$A$3:$F$7,6,FALSE),"")</f>
        <v/>
      </c>
      <c r="AA10" s="11">
        <f>IF(X10=0,"Revisar",IF(Y10&gt;0.2,"Frete alto","Cotado"))</f>
        <v/>
      </c>
    </row>
    <row r="11">
      <c r="A11" s="18" t="inlineStr">
        <is>
          <t>PED-1010</t>
        </is>
      </c>
      <c r="B11" s="42" t="n">
        <v>46047</v>
      </c>
      <c r="C11" s="20" t="inlineStr">
        <is>
          <t>Fernanda Lima</t>
        </is>
      </c>
      <c r="D11" s="20" t="inlineStr">
        <is>
          <t>São Paulo</t>
        </is>
      </c>
      <c r="E11" s="18" t="inlineStr">
        <is>
          <t>SP</t>
        </is>
      </c>
      <c r="F11" s="20" t="inlineStr">
        <is>
          <t>Curitiba</t>
        </is>
      </c>
      <c r="G11" s="18" t="inlineStr">
        <is>
          <t>PR</t>
        </is>
      </c>
      <c r="H11" s="18" t="inlineStr">
        <is>
          <t>Jadlog</t>
        </is>
      </c>
      <c r="I11" s="18">
        <f>IFERROR(VLOOKUP(H11,Parâmetros!$A$3:$F$7,2,FALSE),"Não encontrado")</f>
        <v/>
      </c>
      <c r="J11" s="21" t="n">
        <v>410</v>
      </c>
      <c r="K11" s="22" t="n">
        <v>6</v>
      </c>
      <c r="L11" s="21" t="n">
        <v>38</v>
      </c>
      <c r="M11" s="21" t="n">
        <v>30</v>
      </c>
      <c r="N11" s="21" t="n">
        <v>25</v>
      </c>
      <c r="O11" s="22">
        <f>L11*M11*N11/6000</f>
        <v/>
      </c>
      <c r="P11" s="22">
        <f>IF(O11&gt;K11,O11,K11)</f>
        <v/>
      </c>
      <c r="Q11" s="23" t="n">
        <v>540</v>
      </c>
      <c r="R11" s="24">
        <f>IFERROR(VLOOKUP("Combustível",Parâmetros!$H$3:$I$5,2,FALSE),0)</f>
        <v/>
      </c>
      <c r="S11" s="24">
        <f>IF(OR(F11="Rio de Janeiro",F11="Salvador"),IFERROR(VLOOKUP("Área de risco",Parâmetros!$H$3:$I$5,2,FALSE),0),0)</f>
        <v/>
      </c>
      <c r="T11" s="24" t="n">
        <v>0.02</v>
      </c>
      <c r="U11" s="23">
        <f>IFERROR(MAX(VLOOKUP(H11,Parâmetros!$A$3:$F$7,5,FALSE),J11*VLOOKUP(H11,Parâmetros!$A$3:$F$7,3,FALSE)+P11*VLOOKUP(H11,Parâmetros!$A$3:$F$7,4,FALSE)),0)</f>
        <v/>
      </c>
      <c r="V11" s="23">
        <f>U11*(R11+S11)</f>
        <v/>
      </c>
      <c r="W11" s="23">
        <f>(U11+V11)*T11</f>
        <v/>
      </c>
      <c r="X11" s="23">
        <f>U11+V11-W11</f>
        <v/>
      </c>
      <c r="Y11" s="24">
        <f>IFERROR(X11/Q11,0)</f>
        <v/>
      </c>
      <c r="Z11" s="18">
        <f>IFERROR(VLOOKUP(H11,Parâmetros!$A$3:$F$7,6,FALSE),"")</f>
        <v/>
      </c>
      <c r="AA11" s="18">
        <f>IF(X11=0,"Revisar",IF(Y11&gt;0.2,"Frete alto","Cotado"))</f>
        <v/>
      </c>
    </row>
  </sheetData>
  <autoFilter ref="A1:AA11"/>
  <conditionalFormatting sqref="AA2:AA11">
    <cfRule type="expression" priority="1" dxfId="0" stopIfTrue="1">
      <formula>$AA2="Frete alto"</formula>
    </cfRule>
  </conditionalFormatting>
  <dataValidations count="1">
    <dataValidation sqref="H2:H50" showErrorMessage="1" showInputMessage="1" allowBlank="1" type="list">
      <formula1>"Loggi,Jadlog,Azul Cargo,Correios"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14" customWidth="1" min="4" max="4"/>
    <col width="16" customWidth="1" min="5" max="5"/>
    <col width="4" customWidth="1" min="6" max="6"/>
    <col width="14" customWidth="1" min="7" max="7"/>
    <col width="14" customWidth="1" min="8" max="8"/>
  </cols>
  <sheetData>
    <row r="1" ht="28" customHeight="1">
      <c r="A1" s="1" t="inlineStr">
        <is>
          <t>Resumo de Fretes — Indicadores</t>
        </is>
      </c>
    </row>
    <row r="2"/>
    <row r="3">
      <c r="A3" s="2" t="inlineStr">
        <is>
          <t>Total de cotações</t>
        </is>
      </c>
      <c r="B3" s="25" t="n"/>
      <c r="C3" s="2" t="inlineStr">
        <is>
          <t>Frete total</t>
        </is>
      </c>
      <c r="D3" s="25" t="n"/>
      <c r="E3" s="2" t="inlineStr">
        <is>
          <t>Frete médio</t>
        </is>
      </c>
      <c r="F3" s="25" t="n"/>
    </row>
    <row r="4">
      <c r="A4" s="26">
        <f>COUNTIF(Fretes!A2:A11,"&lt;&gt;")</f>
        <v/>
      </c>
      <c r="B4" s="25" t="n"/>
      <c r="C4" s="27">
        <f>SUM(Fretes!X2:X11)</f>
        <v/>
      </c>
      <c r="D4" s="25" t="n"/>
      <c r="E4" s="27">
        <f>AVERAGE(Fretes!X2:X11)</f>
        <v/>
      </c>
      <c r="F4" s="25" t="n"/>
    </row>
    <row r="5"/>
    <row r="6">
      <c r="A6" s="2" t="inlineStr">
        <is>
          <t>% médio sobre pedidos</t>
        </is>
      </c>
      <c r="B6" s="25" t="n"/>
      <c r="C6" s="2" t="inlineStr">
        <is>
          <t>Fretes altos</t>
        </is>
      </c>
      <c r="D6" s="25" t="n"/>
    </row>
    <row r="7">
      <c r="A7" s="28">
        <f>AVERAGE(Fretes!Y2:Y11)</f>
        <v/>
      </c>
      <c r="B7" s="25" t="n"/>
      <c r="C7" s="29">
        <f>COUNTIF(Fretes!AA2:AA11,"Frete alto")</f>
        <v/>
      </c>
      <c r="D7" s="25" t="n"/>
    </row>
    <row r="8"/>
    <row r="9">
      <c r="A9" s="1" t="inlineStr">
        <is>
          <t>Resumo por Transportadora</t>
        </is>
      </c>
      <c r="G9" s="1" t="inlineStr">
        <is>
          <t>Frete por destino</t>
        </is>
      </c>
    </row>
    <row r="10">
      <c r="A10" s="2" t="inlineStr">
        <is>
          <t>Transportadora</t>
        </is>
      </c>
      <c r="B10" s="2" t="inlineStr">
        <is>
          <t>Cotações</t>
        </is>
      </c>
      <c r="C10" s="2" t="inlineStr">
        <is>
          <t>Frete total</t>
        </is>
      </c>
      <c r="D10" s="2" t="inlineStr">
        <is>
          <t>Frete médio</t>
        </is>
      </c>
      <c r="E10" s="2" t="inlineStr">
        <is>
          <t>Prazo médio (dias)</t>
        </is>
      </c>
      <c r="G10" s="2" t="inlineStr">
        <is>
          <t>Cidade de destino</t>
        </is>
      </c>
      <c r="H10" s="2" t="inlineStr">
        <is>
          <t>Frete final</t>
        </is>
      </c>
    </row>
    <row r="11">
      <c r="A11" s="30" t="inlineStr">
        <is>
          <t>Loggi</t>
        </is>
      </c>
      <c r="B11" s="11">
        <f>COUNTIF(Fretes!$H$2:$H$11,A11)</f>
        <v/>
      </c>
      <c r="C11" s="31">
        <f>SUMIF(Fretes!$H$2:$H$11,A11,Fretes!$X$2:$X$11)</f>
        <v/>
      </c>
      <c r="D11" s="31">
        <f>IFERROR(AVERAGEIF(Fretes!$H$2:$H$11,A11,Fretes!$X$2:$X$11),0)</f>
        <v/>
      </c>
      <c r="E11" s="32">
        <f>IFERROR(AVERAGEIF(Fretes!$H$2:$H$11,A11,Fretes!$Z$2:$Z$11),0)</f>
        <v/>
      </c>
      <c r="G11" s="13">
        <f>Fretes!F2</f>
        <v/>
      </c>
      <c r="H11" s="33">
        <f>Fretes!X2</f>
        <v/>
      </c>
    </row>
    <row r="12">
      <c r="A12" s="34" t="inlineStr">
        <is>
          <t>Jadlog</t>
        </is>
      </c>
      <c r="B12" s="18">
        <f>COUNTIF(Fretes!$H$2:$H$11,A12)</f>
        <v/>
      </c>
      <c r="C12" s="35">
        <f>SUMIF(Fretes!$H$2:$H$11,A12,Fretes!$X$2:$X$11)</f>
        <v/>
      </c>
      <c r="D12" s="35">
        <f>IFERROR(AVERAGEIF(Fretes!$H$2:$H$11,A12,Fretes!$X$2:$X$11),0)</f>
        <v/>
      </c>
      <c r="E12" s="36">
        <f>IFERROR(AVERAGEIF(Fretes!$H$2:$H$11,A12,Fretes!$Z$2:$Z$11),0)</f>
        <v/>
      </c>
      <c r="G12" s="20">
        <f>Fretes!F3</f>
        <v/>
      </c>
      <c r="H12" s="37">
        <f>Fretes!X3</f>
        <v/>
      </c>
    </row>
    <row r="13">
      <c r="A13" s="30" t="inlineStr">
        <is>
          <t>Azul Cargo</t>
        </is>
      </c>
      <c r="B13" s="11">
        <f>COUNTIF(Fretes!$H$2:$H$11,A13)</f>
        <v/>
      </c>
      <c r="C13" s="31">
        <f>SUMIF(Fretes!$H$2:$H$11,A13,Fretes!$X$2:$X$11)</f>
        <v/>
      </c>
      <c r="D13" s="31">
        <f>IFERROR(AVERAGEIF(Fretes!$H$2:$H$11,A13,Fretes!$X$2:$X$11),0)</f>
        <v/>
      </c>
      <c r="E13" s="32">
        <f>IFERROR(AVERAGEIF(Fretes!$H$2:$H$11,A13,Fretes!$Z$2:$Z$11),0)</f>
        <v/>
      </c>
      <c r="G13" s="13">
        <f>Fretes!F4</f>
        <v/>
      </c>
      <c r="H13" s="33">
        <f>Fretes!X4</f>
        <v/>
      </c>
    </row>
    <row r="14">
      <c r="A14" s="34" t="inlineStr">
        <is>
          <t>Correios</t>
        </is>
      </c>
      <c r="B14" s="18">
        <f>COUNTIF(Fretes!$H$2:$H$11,A14)</f>
        <v/>
      </c>
      <c r="C14" s="35">
        <f>SUMIF(Fretes!$H$2:$H$11,A14,Fretes!$X$2:$X$11)</f>
        <v/>
      </c>
      <c r="D14" s="35">
        <f>IFERROR(AVERAGEIF(Fretes!$H$2:$H$11,A14,Fretes!$X$2:$X$11),0)</f>
        <v/>
      </c>
      <c r="E14" s="36">
        <f>IFERROR(AVERAGEIF(Fretes!$H$2:$H$11,A14,Fretes!$Z$2:$Z$11),0)</f>
        <v/>
      </c>
      <c r="G14" s="20">
        <f>Fretes!F5</f>
        <v/>
      </c>
      <c r="H14" s="37">
        <f>Fretes!X5</f>
        <v/>
      </c>
    </row>
    <row r="15">
      <c r="G15" s="13">
        <f>Fretes!F6</f>
        <v/>
      </c>
      <c r="H15" s="33">
        <f>Fretes!X6</f>
        <v/>
      </c>
    </row>
    <row r="16">
      <c r="G16" s="20">
        <f>Fretes!F7</f>
        <v/>
      </c>
      <c r="H16" s="37">
        <f>Fretes!X7</f>
        <v/>
      </c>
    </row>
    <row r="17">
      <c r="G17" s="13">
        <f>Fretes!F8</f>
        <v/>
      </c>
      <c r="H17" s="33">
        <f>Fretes!X8</f>
        <v/>
      </c>
    </row>
    <row r="18">
      <c r="G18" s="20">
        <f>Fretes!F9</f>
        <v/>
      </c>
      <c r="H18" s="37">
        <f>Fretes!X9</f>
        <v/>
      </c>
    </row>
    <row r="19">
      <c r="G19" s="13">
        <f>Fretes!F10</f>
        <v/>
      </c>
      <c r="H19" s="33">
        <f>Fretes!X10</f>
        <v/>
      </c>
    </row>
    <row r="20">
      <c r="G20" s="20">
        <f>Fretes!F11</f>
        <v/>
      </c>
      <c r="H20" s="37">
        <f>Fretes!X11</f>
        <v/>
      </c>
    </row>
  </sheetData>
  <mergeCells count="13">
    <mergeCell ref="A1:H1"/>
    <mergeCell ref="A3:B3"/>
    <mergeCell ref="A4:B4"/>
    <mergeCell ref="C3:D3"/>
    <mergeCell ref="C4:D4"/>
    <mergeCell ref="E3:F3"/>
    <mergeCell ref="E4:F4"/>
    <mergeCell ref="A6:B6"/>
    <mergeCell ref="A7:B7"/>
    <mergeCell ref="C6:D6"/>
    <mergeCell ref="C7:D7"/>
    <mergeCell ref="A9:E9"/>
    <mergeCell ref="G9:H9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</cols>
  <sheetData>
    <row r="1" ht="28" customHeight="1">
      <c r="A1" s="1" t="inlineStr">
        <is>
          <t>Instruções — Cálculo de Frete</t>
        </is>
      </c>
    </row>
    <row r="2"/>
    <row r="3">
      <c r="A3" s="38" t="inlineStr">
        <is>
          <t>1. Aba Parâmetros</t>
        </is>
      </c>
      <c r="B3" s="39" t="n"/>
      <c r="C3" s="39" t="n"/>
      <c r="D3" s="25" t="n"/>
    </row>
    <row r="4" ht="45" customHeight="1">
      <c r="A4" s="40" t="inlineStr">
        <is>
          <t>Cadastre e ajuste as transportadoras (valor por km, valor por kg, taxa mínima e prazo médio) e os adicionais (combustível, área de risco, pedágio). As células em amarelo-claro são editáveis.</t>
        </is>
      </c>
      <c r="B4" s="39" t="n"/>
      <c r="C4" s="39" t="n"/>
      <c r="D4" s="25" t="n"/>
    </row>
    <row r="5"/>
    <row r="6">
      <c r="A6" s="38" t="inlineStr">
        <is>
          <t>2. Aba Fretes</t>
        </is>
      </c>
      <c r="B6" s="39" t="n"/>
      <c r="C6" s="39" t="n"/>
      <c r="D6" s="25" t="n"/>
    </row>
    <row r="7" ht="45" customHeight="1">
      <c r="A7" s="40" t="inlineStr">
        <is>
          <t>Preencha uma linha por cotação ou pedido. Informe ID, data, cliente, origem, destino, transportadora (use a lista suspensa), distância, peso real, dimensões da embalagem, valor dos produtos e desconto. Todas as demais colunas são calculadas automaticamente.</t>
        </is>
      </c>
      <c r="B7" s="39" t="n"/>
      <c r="C7" s="39" t="n"/>
      <c r="D7" s="25" t="n"/>
    </row>
    <row r="8"/>
    <row r="9">
      <c r="A9" s="38" t="inlineStr">
        <is>
          <t>3. Peso cubado</t>
        </is>
      </c>
      <c r="B9" s="39" t="n"/>
      <c r="C9" s="39" t="n"/>
      <c r="D9" s="25" t="n"/>
    </row>
    <row r="10" ht="45" customHeight="1">
      <c r="A10" s="40" t="inlineStr">
        <is>
          <t>O peso cubado é calculado como Comprimento × Largura × Altura ÷ 6.000 (fator de cubagem padrão). O sistema sempre cobra pelo maior valor entre o peso real e o peso cubado, como fazem as transportadoras.</t>
        </is>
      </c>
      <c r="B10" s="39" t="n"/>
      <c r="C10" s="39" t="n"/>
      <c r="D10" s="25" t="n"/>
    </row>
    <row r="11"/>
    <row r="12">
      <c r="A12" s="38" t="inlineStr">
        <is>
          <t>4. Adicionais</t>
        </is>
      </c>
      <c r="B12" s="39" t="n"/>
      <c r="C12" s="39" t="n"/>
      <c r="D12" s="25" t="n"/>
    </row>
    <row r="13" ht="45" customHeight="1">
      <c r="A13" s="40" t="inlineStr">
        <is>
          <t>O adicional de combustível é aplicado em todos os fretes. O adicional de área de risco é aplicado automaticamente quando o destino for Rio de Janeiro ou Salvador. Ajuste os percentuais na aba Parâmetros.</t>
        </is>
      </c>
      <c r="B13" s="39" t="n"/>
      <c r="C13" s="39" t="n"/>
      <c r="D13" s="25" t="n"/>
    </row>
    <row r="14"/>
    <row r="15">
      <c r="A15" s="38" t="inlineStr">
        <is>
          <t>5. Status 'Frete alto'</t>
        </is>
      </c>
      <c r="B15" s="39" t="n"/>
      <c r="C15" s="39" t="n"/>
      <c r="D15" s="25" t="n"/>
    </row>
    <row r="16" ht="45" customHeight="1">
      <c r="A16" s="40" t="inlineStr">
        <is>
          <t>Um frete é marcado como 'Frete alto' quando o valor do frete representa mais de 20% do valor dos produtos. Nesses casos, avalie outra transportadora, negocie o desconto ou revise a embalagem para reduzir o peso cubado.</t>
        </is>
      </c>
      <c r="B16" s="39" t="n"/>
      <c r="C16" s="39" t="n"/>
      <c r="D16" s="25" t="n"/>
    </row>
    <row r="17"/>
    <row r="18">
      <c r="A18" s="38" t="inlineStr">
        <is>
          <t>6. Aba Resumo</t>
        </is>
      </c>
      <c r="B18" s="39" t="n"/>
      <c r="C18" s="39" t="n"/>
      <c r="D18" s="25" t="n"/>
    </row>
    <row r="19" ht="45" customHeight="1">
      <c r="A19" s="40" t="inlineStr">
        <is>
          <t>Acompanhe os indicadores gerais (total de cotações, frete total, frete médio, percentual médio e fretes altos), o comparativo por transportadora e os gráficos de colunas, pizza e barras.</t>
        </is>
      </c>
      <c r="B19" s="39" t="n"/>
      <c r="C19" s="39" t="n"/>
      <c r="D19" s="25" t="n"/>
    </row>
    <row r="20"/>
    <row r="21">
      <c r="A21" s="38" t="inlineStr">
        <is>
          <t>7. Aviso importante</t>
        </is>
      </c>
      <c r="B21" s="39" t="n"/>
      <c r="C21" s="39" t="n"/>
      <c r="D21" s="25" t="n"/>
    </row>
    <row r="22" ht="45" customHeight="1">
      <c r="A22" s="40" t="inlineStr">
        <is>
          <t>Os valores calculados são estimativas para apoio à decisão. Sempre valide tarifas, prazos e condições diretamente com a transportadora antes de fechar o envio.</t>
        </is>
      </c>
      <c r="B22" s="39" t="n"/>
      <c r="C22" s="39" t="n"/>
      <c r="D22" s="25" t="n"/>
    </row>
  </sheetData>
  <mergeCells count="15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1:D21"/>
    <mergeCell ref="A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2026-08-01T17:18:43Z</dcterms:created>
  <dcterms:modified xmlns:dcterms="http://purl.org/dc/terms/" xmlns:xsi="http://www.w3.org/2001/XMLSchema-instance" xsi:type="dcterms:W3CDTF">2026-08-01T17:18:43Z</dcterms:modified>
</cp:coreProperties>
</file>